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issao_de_licitacao\EDITAIS_2024\SO\Edital 018-24\"/>
    </mc:Choice>
  </mc:AlternateContent>
  <xr:revisionPtr revIDLastSave="0" documentId="8_{93EC3372-8102-43EB-87CF-92F83F4B613B}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ORÇAMENTO" sheetId="8" r:id="rId1"/>
    <sheet name="CRONOGRAMA" sheetId="7" r:id="rId2"/>
    <sheet name="CP BDI OBRA" sheetId="9" r:id="rId3"/>
    <sheet name="CP BDI DIFERENCIADO" sheetId="10" r:id="rId4"/>
    <sheet name="DESCARTADO" sheetId="3" state="hidden" r:id="rId5"/>
  </sheets>
  <externalReferences>
    <externalReference r:id="rId6"/>
    <externalReference r:id="rId7"/>
  </externalReferences>
  <definedNames>
    <definedName name="_xlnm._FilterDatabase" localSheetId="0" hidden="1">ORÇAMENTO!#REF!</definedName>
    <definedName name="_Order1">255</definedName>
    <definedName name="_xlnm.Print_Area" localSheetId="3">'CP BDI DIFERENCIADO'!$A$1:$AM$25</definedName>
    <definedName name="_xlnm.Print_Area" localSheetId="2">'CP BDI OBRA'!$A$1:$AM$25</definedName>
    <definedName name="_xlnm.Print_Area" localSheetId="1">CRONOGRAMA!$A$1:$H$30</definedName>
    <definedName name="_xlnm.Print_Area" localSheetId="0">ORÇAMENTO!$A$1:$I$58</definedName>
    <definedName name="BDI.Opcao">[1]DADOS!$F$18</definedName>
    <definedName name="DESONERACAO">IF(OR(Import.Desoneracao="DESONERADO",Import.Desoneracao="SIM"),"SIM","NÃO")</definedName>
    <definedName name="Excel_BuiltIn_Print_Area_1">#REF!</definedName>
    <definedName name="Excel_BuiltIn_Print_Area_2">#REF!</definedName>
    <definedName name="Import.Desoneracao">OFFSET([1]DADOS!$G$18,0,-1)</definedName>
    <definedName name="TIPOORCAMENTO">IF(VALUE([2]MENU!$O$3)=2,"Licitado","Proposto")</definedName>
    <definedName name="_xlnm.Print_Titles" localSheetId="0">ORÇAMENTO!$5:$7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" i="10" l="1"/>
  <c r="E10" i="7" l="1"/>
  <c r="V14" i="10" l="1"/>
  <c r="V13" i="10"/>
  <c r="V12" i="10"/>
  <c r="V11" i="10"/>
  <c r="V16" i="9"/>
  <c r="V15" i="9"/>
  <c r="B22" i="7" l="1"/>
  <c r="F10" i="7" l="1"/>
  <c r="G10" i="7"/>
  <c r="H10" i="7"/>
  <c r="E8" i="7"/>
  <c r="F8" i="7"/>
  <c r="G8" i="7"/>
  <c r="H8" i="7"/>
  <c r="J20" i="7"/>
  <c r="J18" i="7"/>
  <c r="J16" i="7"/>
  <c r="J8" i="7" l="1"/>
  <c r="J10" i="7"/>
  <c r="B18" i="7" l="1"/>
  <c r="B10" i="7"/>
  <c r="F36" i="3" l="1"/>
  <c r="F31" i="3" l="1"/>
  <c r="F25" i="3"/>
  <c r="F19" i="3"/>
  <c r="F13" i="3"/>
  <c r="F7" i="3"/>
  <c r="B20" i="7" l="1"/>
  <c r="B16" i="7"/>
  <c r="B14" i="7"/>
  <c r="B12" i="7"/>
  <c r="B8" i="7"/>
  <c r="K16" i="10" l="1"/>
  <c r="AO17" i="10" s="1"/>
  <c r="AT17" i="10" s="1"/>
  <c r="AU17" i="10" s="1"/>
  <c r="V15" i="10"/>
  <c r="AI9" i="10" s="1"/>
  <c r="I6" i="8" s="1"/>
  <c r="AS16" i="10"/>
  <c r="AQ16" i="10"/>
  <c r="AO16" i="10"/>
  <c r="AS15" i="10"/>
  <c r="AQ15" i="10"/>
  <c r="AO15" i="10"/>
  <c r="AS14" i="10"/>
  <c r="AQ14" i="10"/>
  <c r="AO14" i="10"/>
  <c r="AS13" i="10"/>
  <c r="AQ13" i="10"/>
  <c r="AO13" i="10"/>
  <c r="AS12" i="10"/>
  <c r="AQ12" i="10"/>
  <c r="AO12" i="10"/>
  <c r="H17" i="8" l="1"/>
  <c r="I17" i="8" s="1"/>
  <c r="H41" i="8"/>
  <c r="I41" i="8" s="1"/>
  <c r="H56" i="8"/>
  <c r="I56" i="8" s="1"/>
  <c r="H16" i="8"/>
  <c r="I16" i="8" s="1"/>
  <c r="I15" i="8" s="1"/>
  <c r="C11" i="7" s="1"/>
  <c r="H31" i="8"/>
  <c r="I31" i="8" s="1"/>
  <c r="AT12" i="10"/>
  <c r="AU12" i="10" s="1"/>
  <c r="AP12" i="10" s="1"/>
  <c r="AT15" i="10"/>
  <c r="AU15" i="10" s="1"/>
  <c r="AP15" i="10" s="1"/>
  <c r="AT13" i="10"/>
  <c r="AU13" i="10" s="1"/>
  <c r="AP13" i="10" s="1"/>
  <c r="AT14" i="10"/>
  <c r="AU14" i="10" s="1"/>
  <c r="AP14" i="10" s="1"/>
  <c r="AT16" i="10"/>
  <c r="AU16" i="10" s="1"/>
  <c r="AP16" i="10" s="1"/>
  <c r="G11" i="7" l="1"/>
  <c r="H11" i="7"/>
  <c r="F11" i="7"/>
  <c r="E11" i="7"/>
  <c r="I11" i="7" s="1"/>
  <c r="AR14" i="10"/>
  <c r="AR12" i="10"/>
  <c r="AR15" i="10"/>
  <c r="AR13" i="10"/>
  <c r="AR16" i="10"/>
  <c r="AS16" i="9" l="1"/>
  <c r="AQ16" i="9"/>
  <c r="AO16" i="9"/>
  <c r="AO17" i="9"/>
  <c r="AT17" i="9" s="1"/>
  <c r="AU17" i="9" s="1"/>
  <c r="AS15" i="9"/>
  <c r="AQ15" i="9"/>
  <c r="AO15" i="9"/>
  <c r="AS14" i="9"/>
  <c r="AQ14" i="9"/>
  <c r="AO14" i="9"/>
  <c r="AS13" i="9"/>
  <c r="AQ13" i="9"/>
  <c r="AO13" i="9"/>
  <c r="AS12" i="9"/>
  <c r="AQ12" i="9"/>
  <c r="AO12" i="9"/>
  <c r="AI9" i="9" l="1"/>
  <c r="I5" i="8" s="1"/>
  <c r="AT15" i="9"/>
  <c r="AU15" i="9" s="1"/>
  <c r="AR15" i="9" s="1"/>
  <c r="AT14" i="9"/>
  <c r="AU14" i="9" s="1"/>
  <c r="AP14" i="9" s="1"/>
  <c r="AT16" i="9"/>
  <c r="AU16" i="9" s="1"/>
  <c r="AR16" i="9" s="1"/>
  <c r="AT12" i="9"/>
  <c r="AU12" i="9" s="1"/>
  <c r="AP12" i="9" s="1"/>
  <c r="AT13" i="9"/>
  <c r="AU13" i="9" s="1"/>
  <c r="AP13" i="9" s="1"/>
  <c r="H52" i="8" l="1"/>
  <c r="H26" i="8"/>
  <c r="H55" i="8"/>
  <c r="H40" i="8"/>
  <c r="H50" i="8"/>
  <c r="H38" i="8"/>
  <c r="I38" i="8" s="1"/>
  <c r="H42" i="8"/>
  <c r="I42" i="8" s="1"/>
  <c r="H51" i="8"/>
  <c r="I51" i="8" s="1"/>
  <c r="H23" i="8"/>
  <c r="I23" i="8" s="1"/>
  <c r="H29" i="8"/>
  <c r="H37" i="8"/>
  <c r="I37" i="8" s="1"/>
  <c r="H27" i="8"/>
  <c r="H34" i="8"/>
  <c r="H45" i="8"/>
  <c r="I45" i="8" s="1"/>
  <c r="H33" i="8"/>
  <c r="I33" i="8" s="1"/>
  <c r="H43" i="8"/>
  <c r="I43" i="8" s="1"/>
  <c r="H48" i="8"/>
  <c r="H22" i="8"/>
  <c r="I22" i="8" s="1"/>
  <c r="H54" i="8"/>
  <c r="H39" i="8"/>
  <c r="H53" i="8"/>
  <c r="H19" i="8"/>
  <c r="I19" i="8" s="1"/>
  <c r="H20" i="8"/>
  <c r="I20" i="8" s="1"/>
  <c r="H30" i="8"/>
  <c r="I30" i="8" s="1"/>
  <c r="H36" i="8"/>
  <c r="H49" i="8"/>
  <c r="H35" i="8"/>
  <c r="I35" i="8" s="1"/>
  <c r="H47" i="8"/>
  <c r="I47" i="8" s="1"/>
  <c r="H10" i="8"/>
  <c r="I10" i="8" s="1"/>
  <c r="H58" i="8"/>
  <c r="H11" i="8"/>
  <c r="I11" i="8" s="1"/>
  <c r="H13" i="8"/>
  <c r="H12" i="8"/>
  <c r="H14" i="8"/>
  <c r="H21" i="8"/>
  <c r="I21" i="8" s="1"/>
  <c r="I40" i="8"/>
  <c r="I34" i="8"/>
  <c r="I48" i="8"/>
  <c r="I49" i="8"/>
  <c r="I29" i="8"/>
  <c r="I36" i="8"/>
  <c r="I55" i="8"/>
  <c r="I52" i="8"/>
  <c r="I26" i="8"/>
  <c r="I54" i="8"/>
  <c r="I27" i="8"/>
  <c r="I39" i="8"/>
  <c r="I53" i="8"/>
  <c r="I12" i="8"/>
  <c r="AR12" i="9"/>
  <c r="AP15" i="9"/>
  <c r="AP16" i="9"/>
  <c r="AR13" i="9"/>
  <c r="AR14" i="9"/>
  <c r="I28" i="8" l="1"/>
  <c r="I18" i="8"/>
  <c r="I32" i="8"/>
  <c r="I25" i="8"/>
  <c r="I44" i="8"/>
  <c r="I24" i="8" l="1"/>
  <c r="C19" i="7"/>
  <c r="H19" i="7" s="1"/>
  <c r="J14" i="7"/>
  <c r="C13" i="7"/>
  <c r="E13" i="7" l="1"/>
  <c r="H13" i="7"/>
  <c r="F13" i="7"/>
  <c r="G13" i="7"/>
  <c r="C15" i="7"/>
  <c r="E15" i="7" s="1"/>
  <c r="I19" i="7" l="1"/>
  <c r="I13" i="7"/>
  <c r="I15" i="7" l="1"/>
  <c r="I50" i="8" l="1"/>
  <c r="I46" i="8" l="1"/>
  <c r="C21" i="7" l="1"/>
  <c r="G21" i="7" s="1"/>
  <c r="H21" i="7" l="1"/>
  <c r="I21" i="7" s="1"/>
  <c r="C17" i="7"/>
  <c r="E17" i="7" s="1"/>
  <c r="F17" i="7" l="1"/>
  <c r="G17" i="7"/>
  <c r="H17" i="7"/>
  <c r="I17" i="7" l="1"/>
  <c r="I13" i="8" l="1"/>
  <c r="I14" i="8"/>
  <c r="I9" i="8" l="1"/>
  <c r="C9" i="7" l="1"/>
  <c r="E9" i="7"/>
  <c r="G9" i="7"/>
  <c r="G27" i="7" s="1"/>
  <c r="F9" i="7"/>
  <c r="F27" i="7" s="1"/>
  <c r="H9" i="7"/>
  <c r="H27" i="7" s="1"/>
  <c r="E27" i="7" l="1"/>
  <c r="I9" i="7"/>
  <c r="I58" i="8"/>
  <c r="I57" i="8" l="1"/>
  <c r="I59" i="8" s="1"/>
  <c r="I8" i="8" l="1"/>
  <c r="C23" i="7"/>
  <c r="D23" i="7"/>
  <c r="C25" i="7"/>
  <c r="C20" i="7" l="1"/>
  <c r="F28" i="7"/>
  <c r="C10" i="7"/>
  <c r="C8" i="7"/>
  <c r="C16" i="7"/>
  <c r="C12" i="7"/>
  <c r="H28" i="7"/>
  <c r="C14" i="7"/>
  <c r="C18" i="7"/>
  <c r="G28" i="7"/>
  <c r="E28" i="7"/>
  <c r="C22" i="7"/>
  <c r="I23" i="7"/>
  <c r="I25" i="7" s="1"/>
  <c r="D27" i="7"/>
  <c r="D28" i="7" l="1"/>
  <c r="G32" i="7" s="1"/>
  <c r="D29" i="7"/>
  <c r="E29" i="7" s="1"/>
  <c r="F29" i="7" s="1"/>
  <c r="G29" i="7" s="1"/>
  <c r="H29" i="7" s="1"/>
  <c r="F32" i="7" l="1"/>
  <c r="E32" i="7"/>
  <c r="I32" i="7"/>
  <c r="J32" i="7"/>
  <c r="D30" i="7"/>
  <c r="E30" i="7" s="1"/>
  <c r="F30" i="7" s="1"/>
  <c r="G30" i="7" s="1"/>
  <c r="H30" i="7" s="1"/>
  <c r="H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G10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>OBS: PREENCHER APENAS AS CÉLULAS EM AMARELO</t>
        </r>
      </text>
    </comment>
  </commentList>
</comments>
</file>

<file path=xl/sharedStrings.xml><?xml version="1.0" encoding="utf-8"?>
<sst xmlns="http://schemas.openxmlformats.org/spreadsheetml/2006/main" count="417" uniqueCount="211">
  <si>
    <t>ITEM</t>
  </si>
  <si>
    <t>TOTAL</t>
  </si>
  <si>
    <t>DESCRIÇÃO DOS SERVIÇOS</t>
  </si>
  <si>
    <t>REFERENCIA</t>
  </si>
  <si>
    <t>CÓDIGO</t>
  </si>
  <si>
    <t>1.1</t>
  </si>
  <si>
    <t>SINAPI</t>
  </si>
  <si>
    <t>M</t>
  </si>
  <si>
    <t>PROPOSTAS</t>
  </si>
  <si>
    <t>EMPRESAS</t>
  </si>
  <si>
    <t>PREÇO UNITÁRIO</t>
  </si>
  <si>
    <t>KG</t>
  </si>
  <si>
    <t>ENCHIMENTO DE AREIA PARA DRENO, LANÇAMENTO MECANIZADO. AF_07/2021</t>
  </si>
  <si>
    <t>H</t>
  </si>
  <si>
    <t>COMPOSIÇÃO</t>
  </si>
  <si>
    <t>4</t>
  </si>
  <si>
    <t>5</t>
  </si>
  <si>
    <t>3</t>
  </si>
  <si>
    <t>VALOR  DOS SERVIÇOS</t>
  </si>
  <si>
    <t>MÊS 01</t>
  </si>
  <si>
    <t>MÊS 02</t>
  </si>
  <si>
    <t>MÊS 03</t>
  </si>
  <si>
    <t>MÊS 04</t>
  </si>
  <si>
    <t>MÊS 05</t>
  </si>
  <si>
    <t>VALOR TOTAL DA OBRA:</t>
  </si>
  <si>
    <t>TOTAL SIMPLES - R$</t>
  </si>
  <si>
    <t>TOTAL SIMPLES - %</t>
  </si>
  <si>
    <t>TOTAL ACUMULADO - R$</t>
  </si>
  <si>
    <t>TOTAL ACUMULADO - %</t>
  </si>
  <si>
    <t>DESCRIÇÃO</t>
  </si>
  <si>
    <t>INSTALAÇÕES PROVISÓRIAS</t>
  </si>
  <si>
    <t>1.2</t>
  </si>
  <si>
    <t>1.3</t>
  </si>
  <si>
    <t>1.4</t>
  </si>
  <si>
    <t>MÊS</t>
  </si>
  <si>
    <t>2.1</t>
  </si>
  <si>
    <t>TERRAPLENAGEM</t>
  </si>
  <si>
    <t>3.1</t>
  </si>
  <si>
    <t>CORTE E ATERRO</t>
  </si>
  <si>
    <t>3.2</t>
  </si>
  <si>
    <t>DRENAGEM</t>
  </si>
  <si>
    <t>5.1</t>
  </si>
  <si>
    <t>5.3</t>
  </si>
  <si>
    <t>Composição do BDI sugerida</t>
  </si>
  <si>
    <t>Intervalos admissíveis sem justificativa</t>
  </si>
  <si>
    <t>Composição de BDI Adotada</t>
  </si>
  <si>
    <t>BDI Proposto:</t>
  </si>
  <si>
    <t>Mínimo</t>
  </si>
  <si>
    <t>Média</t>
  </si>
  <si>
    <t>Máximo</t>
  </si>
  <si>
    <t>Desvio</t>
  </si>
  <si>
    <t>Desvio
Médio</t>
  </si>
  <si>
    <t>Garantia (G) + Seguro (S)</t>
  </si>
  <si>
    <t xml:space="preserve">De </t>
  </si>
  <si>
    <t>até</t>
  </si>
  <si>
    <t xml:space="preserve">  Garantia:</t>
  </si>
  <si>
    <r>
      <t xml:space="preserve"> BDI =</t>
    </r>
    <r>
      <rPr>
        <u/>
        <sz val="8"/>
        <rFont val="Arial"/>
        <family val="2"/>
      </rPr>
      <t xml:space="preserve"> (1+AC+S+R+G)x(1+DF)x(1+L</t>
    </r>
    <r>
      <rPr>
        <sz val="8"/>
        <rFont val="Arial"/>
        <family val="2"/>
      </rPr>
      <t xml:space="preserve">)  -1
                                  1-I
  </t>
    </r>
    <r>
      <rPr>
        <u/>
        <sz val="8"/>
        <rFont val="Arial"/>
        <family val="2"/>
      </rPr>
      <t>Observação</t>
    </r>
    <r>
      <rPr>
        <sz val="8"/>
        <rFont val="Arial"/>
        <family val="2"/>
      </rPr>
      <t>:
  i)   Composição do BDI, intervalos admissíveis e Fórmula de cálculo nos termos do Acórdão 2622/2013 do TCU.</t>
    </r>
  </si>
  <si>
    <t>Superior</t>
  </si>
  <si>
    <t>Inferior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</si>
  <si>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</si>
  <si>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</si>
  <si>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</si>
  <si>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</si>
  <si>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</si>
  <si>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</si>
  <si>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</si>
  <si>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</si>
  <si>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Impostos (I)**</t>
  </si>
  <si>
    <t xml:space="preserve">  Tributos:</t>
  </si>
  <si>
    <t xml:space="preserve">Obs.: IMPOSTOS (I) =               CONFINS               +                        PIS                         +                       ISS***                       </t>
  </si>
  <si>
    <t>+</t>
  </si>
  <si>
    <t>CPRB*</t>
  </si>
  <si>
    <t>* CPRB = Contribuição Previdenciária sobre Receita Bruta, devido a desoneração da folha de pagamento, Lei 12.844/2013.</t>
  </si>
  <si>
    <t>**Valores de Impostos considerados para empresas com regime de incidência cumulativa de PIS e COFINS.</t>
  </si>
  <si>
    <t>*** Valor percentual definido pela Lei Municipal Complementar nº 166, de 11/07/2017</t>
  </si>
  <si>
    <t>4.1</t>
  </si>
  <si>
    <t>2.2</t>
  </si>
  <si>
    <t>REATERRO MANUAL DE VALAS COM COMPACTAÇÃO MECANIZADA. AF_04/2016</t>
  </si>
  <si>
    <t>93382</t>
  </si>
  <si>
    <t>3.3</t>
  </si>
  <si>
    <t>98459</t>
  </si>
  <si>
    <t>LIGAÇÃO PROVISÓRIA DE ÁGUA E ESGOTO PARA CONTAINER (ESCRITÓRIO DE OBRA)</t>
  </si>
  <si>
    <t>4.2</t>
  </si>
  <si>
    <t>5.2</t>
  </si>
  <si>
    <t>LUVA DE EMENDA</t>
  </si>
  <si>
    <t>PORCA SEXTAVADA</t>
  </si>
  <si>
    <t>ANEL DE ANGULAÇÃO</t>
  </si>
  <si>
    <t>PLACA DE ANCORAGEM 350X350</t>
  </si>
  <si>
    <t>TIRANTE MONOBARRA 1"</t>
  </si>
  <si>
    <t>CONCRETO PROJETADO</t>
  </si>
  <si>
    <t>TUBO DE PVC PARA REDE COLETORA DE ESGOTO DE PAREDE MACIÇA, DN 200 MM, JUNTA ELÁSTICA - FORNECIMENTO E ASSENTAMENTO. AF_01/2021</t>
  </si>
  <si>
    <t>CURVA 45 GRAUS DN 200</t>
  </si>
  <si>
    <t>PONTO BOMBEIRO</t>
  </si>
  <si>
    <t>CASA FERREIRA</t>
  </si>
  <si>
    <t>CASA FALCI</t>
  </si>
  <si>
    <t>DYWIDAG</t>
  </si>
  <si>
    <t>AÇO TUBO</t>
  </si>
  <si>
    <t>7</t>
  </si>
  <si>
    <t>DRENO BARBACÃ, DN 50 MM, COM MATERIAL DRENANTE. AF_07/2021</t>
  </si>
  <si>
    <t>6.1</t>
  </si>
  <si>
    <t>6</t>
  </si>
  <si>
    <t>LONA PLÁSTICA 300 MICRAS</t>
  </si>
  <si>
    <t>PLANTIO DE GRAMA</t>
  </si>
  <si>
    <t>7.1</t>
  </si>
  <si>
    <t>7.2</t>
  </si>
  <si>
    <t>7.3</t>
  </si>
  <si>
    <t>2</t>
  </si>
  <si>
    <t>INSTALAÇÕES DA OBRA</t>
  </si>
  <si>
    <t>ENCARREGADO DE OBRAS COM ENCARGOS COMPLEMENTARES</t>
  </si>
  <si>
    <t>4.1.1</t>
  </si>
  <si>
    <t>4.1.2</t>
  </si>
  <si>
    <t>4.2.1</t>
  </si>
  <si>
    <t>4.2.2</t>
  </si>
  <si>
    <t>4.2.3</t>
  </si>
  <si>
    <t>1</t>
  </si>
  <si>
    <t>COTAÇÃO</t>
  </si>
  <si>
    <t>8</t>
  </si>
  <si>
    <t>8.1</t>
  </si>
  <si>
    <t>LOCAÇÃO DE REDE DE ÁGUA OU ESGOTO</t>
  </si>
  <si>
    <t>SINAPI-I</t>
  </si>
  <si>
    <t>M2XMÊS</t>
  </si>
  <si>
    <t>MONTAGEM E DESMONTAGEM DE ANDAIME MODULAR FACHADEIRO, COM PISO METÁLICO, PARA EDIFICAÇÕES COM MÚLTIPLOS PAVIMENTOS (EXCLUSIVE ANDAIME E LIMPEZA)</t>
  </si>
  <si>
    <t>M2</t>
  </si>
  <si>
    <t>ESCAVAÇÃO MECANIZADA DE VALA COM PROF. ATÉ 1,5 M (MÉDIA MONTANTE E JUSANTE/UMA COMPOSIÇÃO POR TRECHO), RETROESCAV. (0,26 M3), LARG. MENOR QUE 0,8 M, EM SOLO DE 1A CATEGORIA, EM LOCAIS COM ALTO NÍVEL DE INTERFERÊNCIA</t>
  </si>
  <si>
    <t>M3</t>
  </si>
  <si>
    <t>M3XKM</t>
  </si>
  <si>
    <t>QTDXMÊS</t>
  </si>
  <si>
    <t>PREFEITURA DE JUIZ DE FORA</t>
  </si>
  <si>
    <t>SECRETARIA DE OBRAS</t>
  </si>
  <si>
    <t>SUBSECRETARIA DE GESTÃO DE OBRAS E PROJETOS</t>
  </si>
  <si>
    <t>OBRA:</t>
  </si>
  <si>
    <t>DATA:</t>
  </si>
  <si>
    <t>EXECUÇÃO DE CONTENÇÃO NA RUA MARIA FLORICE  - LINHARES ALTO DOS TRES MOINHOS</t>
  </si>
  <si>
    <t>QTD</t>
  </si>
  <si>
    <t>UNID.</t>
  </si>
  <si>
    <t>EQUALIZAÇÕES DE PREÇO UNITÁRIO REFERENCIAL</t>
  </si>
  <si>
    <t>PAPER PLAST</t>
  </si>
  <si>
    <t>POLY-AMÉRICA</t>
  </si>
  <si>
    <t>RCPACK EMBALAGENS</t>
  </si>
  <si>
    <t>SERVIÇOS A EXECUTAR  -  Em %</t>
  </si>
  <si>
    <t>-</t>
  </si>
  <si>
    <t>ELABORAÇÃO DE PROJETOS EM GERAL</t>
  </si>
  <si>
    <t>ELABORAÇÃO DE PROJETOS EM GERAL (1% DO VALOR DA OBRA)</t>
  </si>
  <si>
    <t>3.4</t>
  </si>
  <si>
    <t>3.5</t>
  </si>
  <si>
    <t>EXECUÇÃO DE CANALETA DE CONCRETO MOLDADO IN LOCO, ESPESSURA DE 0,07 M, GEOMETRIA TRAPEZOIDAL (DIMENSÕES INTERNAS: B=0,6 M; B=0,147 M; H=0,2 M). AF_08/2021</t>
  </si>
  <si>
    <t>CAIXA ENTERRADA HIDRÁULICA RETANGULAR, EM ALVENARIA COM BLOCOS DE CONCRETO, DIMENSÕES INTERNAS: 1X1X0,6 M PARA REDE DE DRENAGEM. AF_12/2020</t>
  </si>
  <si>
    <t>19/02/2024</t>
  </si>
  <si>
    <t>FORNECIMENTO E INSTALAÇÃO DE PLACA DE OBRA COM CHAPA GALVANIZADA E ESTRUTURA DE MADEIRA. AF_03/2022</t>
  </si>
  <si>
    <t>01</t>
  </si>
  <si>
    <t>02</t>
  </si>
  <si>
    <t>03</t>
  </si>
  <si>
    <t>05</t>
  </si>
  <si>
    <t>06</t>
  </si>
  <si>
    <t>1.5</t>
  </si>
  <si>
    <t>LIGAÇÃO PROVISÓRIA DE ÁGUA E ESGOTO PARA CONTAINER (VESTIÁRIO DE OBRA), EXCLUSIVE CHUVEIRO ELÉTRICO</t>
  </si>
  <si>
    <t>VIGIA NOTURNO COM ENCARGOS COMPLEMENTARES (SEG. À SEXTA: 22 H ÀS 05 H = 7 H/DIA)</t>
  </si>
  <si>
    <t>VIGIA DIURNO COM ENCARGOS COMPLEMENTARES (SEG. A SEXTA: 05 H ÀS 07 H E 17 H ÀS 22 H = 7 H/DIA) + (SÁB. E DOM.: 05 H ÀS 22 H = 17 H/DIA)</t>
  </si>
  <si>
    <t>CONCRETAGEM DE CORTINA DE CONTENÇÃO, ATRAVÉS DE BOMBA LANÇAMENTO, ADENSAMENTO E ACABAMENTO. AF_07/2019</t>
  </si>
  <si>
    <t>LOCAÇÃO DE PONTO PARA REFERÊNCIA TOPOGRÁFICA PARA CORTINA</t>
  </si>
  <si>
    <t>TAPUME COM TELHA METÁLICA. AF_05/2018 (H=2,00M)</t>
  </si>
  <si>
    <t>ARMAÇÃO DE CORTINA DE CONTENÇÃO EM CONCRETO ARMADO, COM AÇO CA-50 DE 16 MM (1,578 KG/M) - MONTAGEM. AF_07/2019</t>
  </si>
  <si>
    <t>R$ TOTAL
COM BDI</t>
  </si>
  <si>
    <t>R$ UNIT.
SEM BDI</t>
  </si>
  <si>
    <t>R$ UNIT. COM BDI</t>
  </si>
  <si>
    <t>CARGA, DESCARGA E TRANSPORTE PARA ATERRO SANITÁRIO DE MATERIAL PROVENIENTE DA DIFERENÇA ENTRE CORTE E ATERRO</t>
  </si>
  <si>
    <t>ARMAÇÃO DE CORTINA DE CONTENÇÃO EM CONCRETO ARMADO, COM AÇO CA-50 DE 12,5 MM (0,963 KG/M) - MONTAGEM. AF_07/2019</t>
  </si>
  <si>
    <t>ENCHIMENTO DE BRITA Nº 3 PARA DRENO, LANÇAMENTO MECANIZADO. AF_07/2022</t>
  </si>
  <si>
    <t>PLANTIO DE GRAMA ESMERALDA OU SÃO CARLOS OU CURITIBANA, EM PLACAS. AF_05/2022</t>
  </si>
  <si>
    <t>TRANSPORTE COM CAMINHÃO BASCULANTE DE 10 M³, EM VIA URBANA PAVIMENTADA, DMT ATÉ 30 KM. AF_07/2020, INCLUSIVE EMPOLAMENTO: 30% (DMT ADOTADO: 9,70KM)</t>
  </si>
  <si>
    <t>5.4</t>
  </si>
  <si>
    <t>5.5</t>
  </si>
  <si>
    <t>5.6</t>
  </si>
  <si>
    <t>5.7</t>
  </si>
  <si>
    <t>5.8</t>
  </si>
  <si>
    <t>5.9</t>
  </si>
  <si>
    <t>5.10</t>
  </si>
  <si>
    <t>7.4</t>
  </si>
  <si>
    <t>7.5</t>
  </si>
  <si>
    <t>7.6</t>
  </si>
  <si>
    <t>7.7</t>
  </si>
  <si>
    <t>7.8</t>
  </si>
  <si>
    <t>7.9</t>
  </si>
  <si>
    <t>7.10</t>
  </si>
  <si>
    <t>5.11</t>
  </si>
  <si>
    <t>LASTRO DE CONCRETO MAGRO, APLICADO EM BLOCOS DE COROAMENTO OU SAPATAS. AF_08/2017</t>
  </si>
  <si>
    <t>JOELHO 90 GRAUS, PVC, SERIE NORMAL, DN 200 MM, JUNTA ELÁSTICA, FORNECIDO E INSTALADO</t>
  </si>
  <si>
    <t xml:space="preserve">   VALOR TOTAL COM BDI ONERADO: 24,00%, EXCETO ITENS: 2.1 / 2.2 / 4.2.3 / 5.9 / 7.10 COM BDI DIFERENCIADO: 16,00%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</si>
  <si>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</si>
  <si>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r>
      <t>TAXA DE DESTINAÇÃO DE RESÍDUOS DA OBRA EM ATERRO SANITÁRIO LICENCIADO PELA PJF</t>
    </r>
    <r>
      <rPr>
        <b/>
        <sz val="12"/>
        <rFont val="Calibri"/>
        <family val="2"/>
        <scheme val="minor"/>
      </rPr>
      <t xml:space="preserve"> &gt; (BDI DIFERENCIADO: 16,00%)</t>
    </r>
  </si>
  <si>
    <r>
      <t xml:space="preserve">LOCACAO DE CONTAINER 2,30 X 4,30 M, ALT. 2,50 M, P/ SANITARIO, C/ 5 BACIAS, 1 LAVATORIO E 4 MICTORIOS </t>
    </r>
    <r>
      <rPr>
        <b/>
        <sz val="12"/>
        <rFont val="Calibri"/>
        <family val="2"/>
        <scheme val="minor"/>
      </rPr>
      <t>&gt; (BDI DIFERENCIADO: 16,00%)</t>
    </r>
  </si>
  <si>
    <r>
      <t xml:space="preserve">LOCACAO DE CONTAINER 2,30  X  6,00 M, ALT. 2,50 M, COM 1 SANITARIO, PARA ESCRITORIO, COMPLETO, SEM DIVISORIAS INTERNAS </t>
    </r>
    <r>
      <rPr>
        <b/>
        <sz val="12"/>
        <rFont val="Calibri"/>
        <family val="2"/>
        <scheme val="minor"/>
      </rPr>
      <t>&gt; (BDI DIFERENCIADO: 16,00%)</t>
    </r>
  </si>
  <si>
    <r>
      <t>LOCACAO DE ANDAIME METALICO TIPO FACHADEIRO, PECAS COM APROXIMADAMENTE 1,20 M DE LARGURA E 2,0 M DE ALTURA, INCLUINDO DIAGONAIS EM X, BARRAS DE LIGACAO, SAPATAS E DEMAIS ITENS NECESSARIOS A MONTAGEM (NAO INCLUI INSTALACAO)</t>
    </r>
    <r>
      <rPr>
        <b/>
        <sz val="12"/>
        <rFont val="Calibri"/>
        <family val="2"/>
        <scheme val="minor"/>
      </rPr>
      <t xml:space="preserve"> &gt; (BDI DIFERENCIADO: 16,00%)</t>
    </r>
  </si>
  <si>
    <t>04</t>
  </si>
  <si>
    <t>EXECUÇÃO DE CONTENÇÃO NA RUA FRANCISCO RODRIGUES SILVA / BAIRRO SANTO ANTÔNIO</t>
  </si>
  <si>
    <t>01/04/2024</t>
  </si>
  <si>
    <t>BDI ONERADO OBRA:</t>
  </si>
  <si>
    <t>BDI DIFERENCIADO:</t>
  </si>
  <si>
    <t>ENGENHEIRO CIVIL JUNIOR COM ENCARGOS COMPLEMENTARES (1H/DIA)</t>
  </si>
  <si>
    <r>
      <rPr>
        <sz val="14"/>
        <color rgb="FFFF0000"/>
        <rFont val="Calibri"/>
        <family val="2"/>
        <scheme val="minor"/>
      </rPr>
      <t>*</t>
    </r>
    <r>
      <rPr>
        <sz val="12"/>
        <rFont val="Calibri"/>
        <family val="2"/>
        <scheme val="minor"/>
      </rPr>
      <t xml:space="preserve"> SINAPI
D.B.: 11/2023</t>
    </r>
  </si>
  <si>
    <t>MURO DE CONCRETO ARMADO</t>
  </si>
  <si>
    <t>CARGA, MANOBRA E DESCARGA DE SOLOS E MATERIAIS GRANULARES EM CAMINHÃO BASCULANTE 10 M³ - CARGA COM PÁ CARREGADEIRA (CAÇAMBA DE 1,7 A 2,8 M³ / 128 HP) E DESCARGA LIVRE. AF_07/2020</t>
  </si>
  <si>
    <t>TOPOGRAFO, COM ENCARGOS COMPLEMENTARES (0,50 H/DIA)</t>
  </si>
  <si>
    <r>
      <t xml:space="preserve">ADMINISTRAÇÃO LOCAL DA OBRA </t>
    </r>
    <r>
      <rPr>
        <b/>
        <sz val="12"/>
        <color rgb="FFC00000"/>
        <rFont val="Calibri"/>
        <family val="2"/>
        <scheme val="minor"/>
      </rPr>
      <t>(LIMITADO A 10,68% CONFORME TCU)</t>
    </r>
  </si>
  <si>
    <t>LIGAÇÃO PROVISÓRIA DE ENERGIA ELÉTRICA PARA CONTAINER  (ESCRITÓRIO E VESTIÁRIO)</t>
  </si>
  <si>
    <t>FABRICAÇÃO, MONTAGEM E DESMONTAGEM DE FÔRMA PARA CORTINA DE CONTENÇÃO, EM CHAPA DE MADEIRA COMPENSADA PLASTIFICADA, E = 18 MM, 4 UTILIZAÇÕES</t>
  </si>
  <si>
    <r>
      <t>REF. ONERADA
SINAPI 02/2024
SINAPI 11/2023</t>
    </r>
    <r>
      <rPr>
        <sz val="9"/>
        <color rgb="FFFF0000"/>
        <rFont val="Calibri"/>
        <family val="2"/>
        <scheme val="minor"/>
      </rPr>
      <t>*</t>
    </r>
  </si>
  <si>
    <t>PLANILHA ORÇAMENTÁRIA PROPONENTE</t>
  </si>
  <si>
    <t>CRONOGRAMA FÍSICO-FINANCEIRO PROPONENTE</t>
  </si>
  <si>
    <t>COMPOSIÇÃO DE BDI ONERADO PROPONENTE</t>
  </si>
  <si>
    <t>COMPOSIÇÃO DE BDI DIFERENCIADO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</si>
</sst>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#,##0_);[Red]\(#,##0\)"/>
    <numFmt numFmtId="168" formatCode="_(* #,##0_);_(* \(#,##0\);_(* \-_);_(@_)"/>
    <numFmt numFmtId="169" formatCode="_-* #,##0.00_-;\-* #,##0.00_-;_-* \-??_-;_-@_-"/>
    <numFmt numFmtId="170" formatCode="_-&quot;R$&quot;\ * #,##0.00_-;\-&quot;R$&quot;\ * #,##0.00_-;_-&quot;R$&quot;\ * &quot;-&quot;??_-;_-@"/>
  </numFmts>
  <fonts count="60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rgb="FF0000FF"/>
      <name val="Arial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name val="Calibri"/>
      <family val="2"/>
      <charset val="1"/>
    </font>
    <font>
      <u/>
      <sz val="11"/>
      <color rgb="FF0000FF"/>
      <name val="Calibri"/>
      <family val="2"/>
      <charset val="1"/>
    </font>
    <font>
      <u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name val="Calibri"/>
      <family val="2"/>
      <charset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Arial"/>
      <family val="2"/>
      <charset val="1"/>
    </font>
    <font>
      <b/>
      <sz val="11"/>
      <color rgb="FF000000"/>
      <name val="Calibri"/>
      <family val="2"/>
    </font>
    <font>
      <b/>
      <sz val="16"/>
      <name val="Arial"/>
      <family val="2"/>
      <charset val="1"/>
    </font>
    <font>
      <b/>
      <sz val="11"/>
      <name val="Arial"/>
      <family val="2"/>
    </font>
    <font>
      <b/>
      <sz val="11"/>
      <name val="Arial"/>
      <family val="2"/>
      <charset val="1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FF0000"/>
      <name val="Calibri"/>
      <family val="2"/>
      <charset val="1"/>
    </font>
    <font>
      <b/>
      <sz val="10"/>
      <color rgb="FFFF0000"/>
      <name val="Calibri"/>
      <family val="2"/>
      <charset val="1"/>
    </font>
    <font>
      <u/>
      <sz val="10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0.5"/>
      <name val="Arial"/>
      <family val="2"/>
      <charset val="1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sz val="9"/>
      <color rgb="FFFF0000"/>
      <name val="Calibri"/>
      <family val="2"/>
      <scheme val="minor"/>
    </font>
    <font>
      <sz val="12"/>
      <color theme="0" tint="-0.34998626667073579"/>
      <name val="Calibri"/>
      <scheme val="minor"/>
    </font>
    <font>
      <sz val="11"/>
      <color theme="0" tint="-0.34998626667073579"/>
      <name val="Calibri"/>
    </font>
    <font>
      <b/>
      <sz val="12"/>
      <color theme="0" tint="-0.34998626667073579"/>
      <name val="Calibri"/>
      <scheme val="minor"/>
    </font>
    <font>
      <b/>
      <sz val="9"/>
      <color indexed="81"/>
      <name val="Segoe UI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2F2F2"/>
      </patternFill>
    </fill>
    <fill>
      <patternFill patternType="solid">
        <fgColor rgb="FFFFFF00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C6D9F1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 style="thin">
        <color auto="1"/>
      </top>
      <bottom style="thin">
        <color rgb="FFBFBFB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rgb="FFBFBFBF"/>
      </top>
      <bottom style="thin">
        <color rgb="FFBFBFBF"/>
      </bottom>
      <diagonal/>
    </border>
    <border>
      <left style="thin">
        <color auto="1"/>
      </left>
      <right/>
      <top style="thin">
        <color rgb="FFBFBFBF"/>
      </top>
      <bottom style="thin">
        <color auto="1"/>
      </bottom>
      <diagonal/>
    </border>
    <border>
      <left style="thin">
        <color rgb="FFBFBFBF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</borders>
  <cellStyleXfs count="113">
    <xf numFmtId="0" fontId="0" fillId="0" borderId="0"/>
    <xf numFmtId="0" fontId="17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0" fontId="5" fillId="0" borderId="0" applyBorder="0" applyProtection="0"/>
    <xf numFmtId="0" fontId="6" fillId="0" borderId="0"/>
    <xf numFmtId="0" fontId="7" fillId="0" borderId="0">
      <alignment horizontal="center" wrapText="1"/>
    </xf>
    <xf numFmtId="165" fontId="19" fillId="0" borderId="0" applyBorder="0" applyProtection="0"/>
    <xf numFmtId="166" fontId="19" fillId="0" borderId="0" applyBorder="0" applyProtection="0"/>
    <xf numFmtId="165" fontId="19" fillId="0" borderId="0" applyBorder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9" fillId="0" borderId="0"/>
    <xf numFmtId="0" fontId="19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1" fillId="0" borderId="0"/>
    <xf numFmtId="0" fontId="6" fillId="0" borderId="0"/>
    <xf numFmtId="0" fontId="7" fillId="0" borderId="0"/>
    <xf numFmtId="0" fontId="9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19" fillId="2" borderId="1" applyProtection="0"/>
    <xf numFmtId="0" fontId="12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9" fontId="19" fillId="0" borderId="0" applyBorder="0" applyProtection="0"/>
    <xf numFmtId="167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164" fontId="7" fillId="0" borderId="0" applyBorder="0" applyProtection="0"/>
    <xf numFmtId="164" fontId="19" fillId="0" borderId="0" applyBorder="0" applyProtection="0"/>
    <xf numFmtId="164" fontId="19" fillId="0" borderId="0" applyBorder="0" applyProtection="0"/>
    <xf numFmtId="168" fontId="19" fillId="0" borderId="0" applyBorder="0" applyProtection="0"/>
    <xf numFmtId="169" fontId="19" fillId="0" borderId="0" applyBorder="0" applyProtection="0"/>
    <xf numFmtId="169" fontId="19" fillId="0" borderId="0" applyBorder="0" applyProtection="0"/>
    <xf numFmtId="164" fontId="19" fillId="0" borderId="0" applyBorder="0" applyProtection="0"/>
    <xf numFmtId="164" fontId="7" fillId="0" borderId="0" applyBorder="0" applyProtection="0"/>
    <xf numFmtId="164" fontId="19" fillId="0" borderId="0" applyBorder="0" applyProtection="0"/>
    <xf numFmtId="169" fontId="19" fillId="0" borderId="0" applyBorder="0" applyProtection="0"/>
    <xf numFmtId="169" fontId="19" fillId="0" borderId="0" applyBorder="0" applyProtection="0"/>
    <xf numFmtId="164" fontId="19" fillId="0" borderId="0" applyBorder="0" applyProtection="0"/>
    <xf numFmtId="164" fontId="19" fillId="0" borderId="0" applyBorder="0" applyProtection="0"/>
    <xf numFmtId="38" fontId="19" fillId="0" borderId="0" applyBorder="0" applyProtection="0"/>
    <xf numFmtId="44" fontId="20" fillId="0" borderId="0" applyFont="0" applyFill="0" applyBorder="0" applyAlignment="0" applyProtection="0"/>
    <xf numFmtId="0" fontId="21" fillId="0" borderId="0"/>
    <xf numFmtId="0" fontId="4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2" fillId="0" borderId="0"/>
    <xf numFmtId="44" fontId="20" fillId="0" borderId="0" applyFont="0" applyFill="0" applyBorder="0" applyAlignment="0" applyProtection="0"/>
    <xf numFmtId="0" fontId="3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1" fillId="0" borderId="0"/>
    <xf numFmtId="0" fontId="51" fillId="0" borderId="0"/>
  </cellStyleXfs>
  <cellXfs count="3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94"/>
    <xf numFmtId="170" fontId="25" fillId="7" borderId="15" xfId="94" applyNumberFormat="1" applyFont="1" applyFill="1" applyBorder="1" applyAlignment="1">
      <alignment horizontal="center" vertical="center"/>
    </xf>
    <xf numFmtId="10" fontId="25" fillId="7" borderId="15" xfId="94" applyNumberFormat="1" applyFont="1" applyFill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" fontId="26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justify" vertical="center"/>
    </xf>
    <xf numFmtId="4" fontId="0" fillId="0" borderId="0" xfId="0" applyNumberFormat="1" applyAlignment="1">
      <alignment horizontal="center" vertical="center"/>
    </xf>
    <xf numFmtId="0" fontId="21" fillId="0" borderId="0" xfId="0" applyFont="1"/>
    <xf numFmtId="0" fontId="30" fillId="0" borderId="2" xfId="0" applyFont="1" applyBorder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30" fillId="0" borderId="3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6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7" xfId="0" applyFont="1" applyBorder="1" applyAlignment="1">
      <alignment vertical="center"/>
    </xf>
    <xf numFmtId="10" fontId="21" fillId="0" borderId="0" xfId="0" applyNumberFormat="1" applyFont="1"/>
    <xf numFmtId="0" fontId="21" fillId="0" borderId="0" xfId="0" applyFont="1" applyAlignment="1">
      <alignment horizontal="center" vertical="center"/>
    </xf>
    <xf numFmtId="0" fontId="30" fillId="0" borderId="22" xfId="0" applyFont="1" applyBorder="1" applyAlignment="1">
      <alignment horizontal="left" vertical="center"/>
    </xf>
    <xf numFmtId="0" fontId="30" fillId="0" borderId="23" xfId="0" applyFont="1" applyBorder="1" applyAlignment="1">
      <alignment horizontal="left" vertical="center"/>
    </xf>
    <xf numFmtId="10" fontId="30" fillId="0" borderId="22" xfId="0" applyNumberFormat="1" applyFont="1" applyBorder="1" applyAlignment="1">
      <alignment vertical="center"/>
    </xf>
    <xf numFmtId="0" fontId="30" fillId="0" borderId="23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3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10" fontId="30" fillId="0" borderId="26" xfId="0" applyNumberFormat="1" applyFont="1" applyBorder="1" applyAlignment="1">
      <alignment vertical="center"/>
    </xf>
    <xf numFmtId="0" fontId="30" fillId="0" borderId="27" xfId="0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30" fillId="0" borderId="27" xfId="0" applyFont="1" applyBorder="1" applyAlignment="1">
      <alignment vertical="center"/>
    </xf>
    <xf numFmtId="10" fontId="21" fillId="0" borderId="0" xfId="0" applyNumberFormat="1" applyFont="1" applyAlignment="1">
      <alignment horizontal="center"/>
    </xf>
    <xf numFmtId="10" fontId="21" fillId="0" borderId="0" xfId="93" applyNumberFormat="1" applyFont="1"/>
    <xf numFmtId="0" fontId="30" fillId="0" borderId="31" xfId="0" applyFont="1" applyBorder="1" applyAlignment="1">
      <alignment horizontal="left" vertical="center"/>
    </xf>
    <xf numFmtId="0" fontId="30" fillId="0" borderId="32" xfId="0" applyFont="1" applyBorder="1" applyAlignment="1">
      <alignment horizontal="left" vertical="center"/>
    </xf>
    <xf numFmtId="10" fontId="30" fillId="0" borderId="31" xfId="0" applyNumberFormat="1" applyFont="1" applyBorder="1" applyAlignment="1">
      <alignment vertical="center"/>
    </xf>
    <xf numFmtId="0" fontId="30" fillId="0" borderId="34" xfId="0" applyFont="1" applyBorder="1" applyAlignment="1">
      <alignment horizontal="center" vertical="center"/>
    </xf>
    <xf numFmtId="0" fontId="30" fillId="0" borderId="32" xfId="0" applyFont="1" applyBorder="1" applyAlignment="1">
      <alignment vertical="center"/>
    </xf>
    <xf numFmtId="0" fontId="30" fillId="3" borderId="0" xfId="0" applyFont="1" applyFill="1" applyAlignment="1">
      <alignment vertical="center"/>
    </xf>
    <xf numFmtId="0" fontId="30" fillId="0" borderId="0" xfId="0" applyFont="1" applyAlignment="1">
      <alignment horizontal="center" vertical="center"/>
    </xf>
    <xf numFmtId="10" fontId="30" fillId="0" borderId="4" xfId="0" applyNumberFormat="1" applyFont="1" applyBorder="1" applyAlignment="1">
      <alignment vertical="center"/>
    </xf>
    <xf numFmtId="0" fontId="30" fillId="0" borderId="13" xfId="0" applyFont="1" applyBorder="1" applyAlignment="1">
      <alignment horizontal="center" vertical="center"/>
    </xf>
    <xf numFmtId="10" fontId="30" fillId="0" borderId="0" xfId="0" applyNumberFormat="1" applyFont="1" applyAlignment="1">
      <alignment vertical="center"/>
    </xf>
    <xf numFmtId="10" fontId="30" fillId="0" borderId="0" xfId="0" applyNumberFormat="1" applyFont="1" applyAlignment="1">
      <alignment horizontal="center" vertical="center"/>
    </xf>
    <xf numFmtId="0" fontId="30" fillId="0" borderId="8" xfId="0" applyFont="1" applyBorder="1" applyAlignment="1">
      <alignment horizontal="left" vertical="center"/>
    </xf>
    <xf numFmtId="0" fontId="30" fillId="0" borderId="9" xfId="0" applyFont="1" applyBorder="1" applyAlignment="1">
      <alignment horizontal="left" vertical="center"/>
    </xf>
    <xf numFmtId="10" fontId="30" fillId="0" borderId="9" xfId="0" applyNumberFormat="1" applyFont="1" applyBorder="1" applyAlignment="1">
      <alignment vertical="center"/>
    </xf>
    <xf numFmtId="10" fontId="30" fillId="0" borderId="9" xfId="0" applyNumberFormat="1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vertical="center"/>
    </xf>
    <xf numFmtId="0" fontId="30" fillId="0" borderId="18" xfId="0" applyFont="1" applyBorder="1" applyAlignment="1">
      <alignment vertical="center"/>
    </xf>
    <xf numFmtId="0" fontId="30" fillId="4" borderId="2" xfId="0" applyFont="1" applyFill="1" applyBorder="1" applyAlignment="1">
      <alignment vertical="center"/>
    </xf>
    <xf numFmtId="0" fontId="30" fillId="4" borderId="3" xfId="0" applyFont="1" applyFill="1" applyBorder="1" applyAlignment="1">
      <alignment vertical="center"/>
    </xf>
    <xf numFmtId="0" fontId="30" fillId="4" borderId="8" xfId="0" applyFont="1" applyFill="1" applyBorder="1" applyAlignment="1">
      <alignment vertical="center"/>
    </xf>
    <xf numFmtId="0" fontId="30" fillId="4" borderId="9" xfId="0" applyFont="1" applyFill="1" applyBorder="1" applyAlignment="1">
      <alignment vertical="center"/>
    </xf>
    <xf numFmtId="4" fontId="27" fillId="0" borderId="5" xfId="0" applyNumberFormat="1" applyFont="1" applyBorder="1" applyAlignment="1">
      <alignment horizontal="center" vertical="center"/>
    </xf>
    <xf numFmtId="0" fontId="0" fillId="3" borderId="0" xfId="0" applyFill="1"/>
    <xf numFmtId="49" fontId="27" fillId="8" borderId="14" xfId="0" applyNumberFormat="1" applyFont="1" applyFill="1" applyBorder="1" applyAlignment="1">
      <alignment horizontal="center" vertical="center"/>
    </xf>
    <xf numFmtId="4" fontId="27" fillId="8" borderId="14" xfId="0" applyNumberFormat="1" applyFont="1" applyFill="1" applyBorder="1" applyAlignment="1">
      <alignment horizontal="center" vertical="center"/>
    </xf>
    <xf numFmtId="4" fontId="27" fillId="8" borderId="1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" fontId="37" fillId="0" borderId="0" xfId="0" applyNumberFormat="1" applyFont="1" applyAlignment="1">
      <alignment horizontal="center" vertical="center"/>
    </xf>
    <xf numFmtId="4" fontId="36" fillId="9" borderId="5" xfId="0" applyNumberFormat="1" applyFont="1" applyFill="1" applyBorder="1" applyAlignment="1">
      <alignment horizontal="center" vertical="center"/>
    </xf>
    <xf numFmtId="44" fontId="22" fillId="0" borderId="0" xfId="94" applyNumberFormat="1"/>
    <xf numFmtId="0" fontId="22" fillId="0" borderId="0" xfId="94"/>
    <xf numFmtId="4" fontId="28" fillId="0" borderId="5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49" fontId="28" fillId="0" borderId="5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justify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7" fillId="0" borderId="5" xfId="78" applyNumberFormat="1" applyFont="1" applyFill="1" applyBorder="1" applyAlignment="1" applyProtection="1">
      <alignment horizontal="center" vertical="center"/>
    </xf>
    <xf numFmtId="49" fontId="28" fillId="0" borderId="5" xfId="0" applyNumberFormat="1" applyFont="1" applyFill="1" applyBorder="1" applyAlignment="1">
      <alignment horizontal="justify" vertical="center" wrapText="1"/>
    </xf>
    <xf numFmtId="0" fontId="22" fillId="0" borderId="0" xfId="94"/>
    <xf numFmtId="49" fontId="39" fillId="0" borderId="5" xfId="0" applyNumberFormat="1" applyFont="1" applyBorder="1" applyAlignment="1">
      <alignment horizontal="center" vertical="center"/>
    </xf>
    <xf numFmtId="49" fontId="43" fillId="8" borderId="5" xfId="0" applyNumberFormat="1" applyFont="1" applyFill="1" applyBorder="1" applyAlignment="1">
      <alignment horizontal="center" vertical="center" wrapText="1"/>
    </xf>
    <xf numFmtId="170" fontId="23" fillId="5" borderId="4" xfId="94" applyNumberFormat="1" applyFont="1" applyFill="1" applyBorder="1" applyAlignment="1">
      <alignment vertical="center"/>
    </xf>
    <xf numFmtId="170" fontId="23" fillId="5" borderId="13" xfId="94" applyNumberFormat="1" applyFont="1" applyFill="1" applyBorder="1" applyAlignment="1">
      <alignment vertical="center"/>
    </xf>
    <xf numFmtId="4" fontId="27" fillId="0" borderId="5" xfId="0" applyNumberFormat="1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center" vertical="center"/>
    </xf>
    <xf numFmtId="10" fontId="25" fillId="6" borderId="46" xfId="94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3" fillId="5" borderId="5" xfId="94" applyNumberFormat="1" applyFont="1" applyFill="1" applyBorder="1" applyAlignment="1">
      <alignment horizontal="center" vertical="center"/>
    </xf>
    <xf numFmtId="10" fontId="22" fillId="0" borderId="0" xfId="94" applyNumberFormat="1"/>
    <xf numFmtId="9" fontId="25" fillId="6" borderId="5" xfId="93" applyFont="1" applyFill="1" applyBorder="1"/>
    <xf numFmtId="10" fontId="25" fillId="6" borderId="5" xfId="94" applyNumberFormat="1" applyFont="1" applyFill="1" applyBorder="1"/>
    <xf numFmtId="170" fontId="25" fillId="6" borderId="5" xfId="94" applyNumberFormat="1" applyFont="1" applyFill="1" applyBorder="1"/>
    <xf numFmtId="0" fontId="25" fillId="6" borderId="5" xfId="94" applyFont="1" applyFill="1" applyBorder="1"/>
    <xf numFmtId="10" fontId="25" fillId="6" borderId="5" xfId="93" applyNumberFormat="1" applyFont="1" applyFill="1" applyBorder="1"/>
    <xf numFmtId="0" fontId="24" fillId="0" borderId="0" xfId="0" applyFont="1"/>
    <xf numFmtId="0" fontId="46" fillId="12" borderId="10" xfId="0" applyFont="1" applyFill="1" applyBorder="1" applyAlignment="1">
      <alignment horizontal="center" vertical="center" wrapText="1"/>
    </xf>
    <xf numFmtId="165" fontId="46" fillId="12" borderId="5" xfId="13" applyFont="1" applyFill="1" applyBorder="1" applyAlignment="1" applyProtection="1">
      <alignment vertical="center"/>
    </xf>
    <xf numFmtId="0" fontId="46" fillId="12" borderId="37" xfId="0" applyFont="1" applyFill="1" applyBorder="1" applyAlignment="1">
      <alignment horizontal="center" vertical="center" wrapText="1"/>
    </xf>
    <xf numFmtId="165" fontId="46" fillId="12" borderId="5" xfId="13" applyFont="1" applyFill="1" applyBorder="1" applyAlignment="1" applyProtection="1">
      <alignment horizontal="center" vertical="center"/>
    </xf>
    <xf numFmtId="0" fontId="46" fillId="13" borderId="37" xfId="0" applyFont="1" applyFill="1" applyBorder="1" applyAlignment="1">
      <alignment horizontal="center" vertical="center" wrapText="1"/>
    </xf>
    <xf numFmtId="49" fontId="45" fillId="12" borderId="5" xfId="1" applyNumberFormat="1" applyFont="1" applyFill="1" applyBorder="1" applyAlignment="1" applyProtection="1">
      <alignment horizontal="center" vertical="center" wrapText="1"/>
    </xf>
    <xf numFmtId="165" fontId="47" fillId="12" borderId="5" xfId="1" applyNumberFormat="1" applyFont="1" applyFill="1" applyBorder="1" applyAlignment="1" applyProtection="1">
      <alignment horizontal="center" vertical="center" wrapText="1"/>
    </xf>
    <xf numFmtId="0" fontId="46" fillId="12" borderId="38" xfId="0" applyFont="1" applyFill="1" applyBorder="1" applyAlignment="1">
      <alignment horizontal="center" vertical="center" wrapText="1"/>
    </xf>
    <xf numFmtId="165" fontId="45" fillId="12" borderId="5" xfId="13" applyFont="1" applyFill="1" applyBorder="1" applyAlignment="1" applyProtection="1">
      <alignment horizontal="center" vertical="center"/>
    </xf>
    <xf numFmtId="0" fontId="48" fillId="11" borderId="18" xfId="0" applyFont="1" applyFill="1" applyBorder="1"/>
    <xf numFmtId="49" fontId="27" fillId="0" borderId="5" xfId="0" applyNumberFormat="1" applyFont="1" applyFill="1" applyBorder="1" applyAlignment="1">
      <alignment horizontal="justify" vertical="center" wrapText="1"/>
    </xf>
    <xf numFmtId="49" fontId="27" fillId="0" borderId="5" xfId="0" applyNumberFormat="1" applyFont="1" applyBorder="1" applyAlignment="1">
      <alignment horizontal="justify" vertical="center" wrapText="1"/>
    </xf>
    <xf numFmtId="4" fontId="36" fillId="14" borderId="14" xfId="0" applyNumberFormat="1" applyFont="1" applyFill="1" applyBorder="1" applyAlignment="1">
      <alignment horizontal="center" vertical="center" wrapText="1"/>
    </xf>
    <xf numFmtId="49" fontId="36" fillId="14" borderId="13" xfId="0" applyNumberFormat="1" applyFont="1" applyFill="1" applyBorder="1" applyAlignment="1">
      <alignment horizontal="center" vertical="center"/>
    </xf>
    <xf numFmtId="4" fontId="36" fillId="14" borderId="11" xfId="0" applyNumberFormat="1" applyFont="1" applyFill="1" applyBorder="1" applyAlignment="1">
      <alignment horizontal="center" vertical="center" wrapText="1"/>
    </xf>
    <xf numFmtId="4" fontId="36" fillId="14" borderId="13" xfId="0" applyNumberFormat="1" applyFont="1" applyFill="1" applyBorder="1" applyAlignment="1">
      <alignment horizontal="left" vertical="center"/>
    </xf>
    <xf numFmtId="49" fontId="36" fillId="14" borderId="13" xfId="0" applyNumberFormat="1" applyFont="1" applyFill="1" applyBorder="1" applyAlignment="1">
      <alignment horizontal="left" vertical="center"/>
    </xf>
    <xf numFmtId="49" fontId="27" fillId="0" borderId="5" xfId="78" applyNumberFormat="1" applyFont="1" applyFill="1" applyBorder="1" applyAlignment="1" applyProtection="1">
      <alignment horizontal="justify" vertical="center" wrapText="1"/>
    </xf>
    <xf numFmtId="49" fontId="36" fillId="9" borderId="5" xfId="0" applyNumberFormat="1" applyFont="1" applyFill="1" applyBorder="1" applyAlignment="1">
      <alignment horizontal="center" vertical="center"/>
    </xf>
    <xf numFmtId="49" fontId="36" fillId="9" borderId="5" xfId="0" applyNumberFormat="1" applyFont="1" applyFill="1" applyBorder="1" applyAlignment="1">
      <alignment horizontal="justify" vertical="center" wrapText="1"/>
    </xf>
    <xf numFmtId="49" fontId="36" fillId="0" borderId="5" xfId="0" applyNumberFormat="1" applyFont="1" applyBorder="1" applyAlignment="1">
      <alignment horizontal="center" vertical="center"/>
    </xf>
    <xf numFmtId="4" fontId="36" fillId="0" borderId="5" xfId="0" applyNumberFormat="1" applyFont="1" applyBorder="1" applyAlignment="1">
      <alignment horizontal="center" vertical="center"/>
    </xf>
    <xf numFmtId="0" fontId="36" fillId="9" borderId="5" xfId="0" applyFont="1" applyFill="1" applyBorder="1" applyAlignment="1">
      <alignment horizontal="center" vertical="center"/>
    </xf>
    <xf numFmtId="49" fontId="36" fillId="9" borderId="5" xfId="0" applyNumberFormat="1" applyFont="1" applyFill="1" applyBorder="1" applyAlignment="1">
      <alignment horizontal="justify" vertical="center"/>
    </xf>
    <xf numFmtId="10" fontId="44" fillId="0" borderId="0" xfId="94" applyNumberFormat="1" applyFont="1" applyAlignment="1">
      <alignment horizontal="center" vertical="center"/>
    </xf>
    <xf numFmtId="10" fontId="25" fillId="6" borderId="5" xfId="94" applyNumberFormat="1" applyFont="1" applyFill="1" applyBorder="1" applyAlignment="1">
      <alignment vertical="center"/>
    </xf>
    <xf numFmtId="44" fontId="22" fillId="0" borderId="0" xfId="94" applyNumberFormat="1" applyAlignment="1">
      <alignment vertical="center"/>
    </xf>
    <xf numFmtId="10" fontId="22" fillId="0" borderId="0" xfId="94" applyNumberFormat="1" applyAlignment="1">
      <alignment vertical="center"/>
    </xf>
    <xf numFmtId="0" fontId="22" fillId="0" borderId="0" xfId="94" applyAlignment="1">
      <alignment vertical="center"/>
    </xf>
    <xf numFmtId="170" fontId="25" fillId="6" borderId="5" xfId="94" applyNumberFormat="1" applyFont="1" applyFill="1" applyBorder="1" applyAlignment="1">
      <alignment vertical="center"/>
    </xf>
    <xf numFmtId="10" fontId="39" fillId="0" borderId="5" xfId="0" applyNumberFormat="1" applyFont="1" applyBorder="1" applyAlignment="1">
      <alignment horizontal="center" vertical="center"/>
    </xf>
    <xf numFmtId="0" fontId="50" fillId="0" borderId="0" xfId="0" applyFont="1" applyFill="1"/>
    <xf numFmtId="0" fontId="27" fillId="0" borderId="5" xfId="0" applyNumberFormat="1" applyFont="1" applyFill="1" applyBorder="1" applyAlignment="1">
      <alignment horizontal="center" vertical="center"/>
    </xf>
    <xf numFmtId="0" fontId="28" fillId="0" borderId="5" xfId="0" applyNumberFormat="1" applyFont="1" applyFill="1" applyBorder="1" applyAlignment="1">
      <alignment horizontal="center" vertical="center"/>
    </xf>
    <xf numFmtId="49" fontId="39" fillId="11" borderId="5" xfId="0" applyNumberFormat="1" applyFont="1" applyFill="1" applyBorder="1" applyAlignment="1">
      <alignment horizontal="center" vertical="center"/>
    </xf>
    <xf numFmtId="0" fontId="14" fillId="12" borderId="10" xfId="0" applyFont="1" applyFill="1" applyBorder="1" applyAlignment="1">
      <alignment horizontal="center" vertical="center" wrapText="1"/>
    </xf>
    <xf numFmtId="165" fontId="14" fillId="12" borderId="5" xfId="13" applyFont="1" applyFill="1" applyBorder="1" applyAlignment="1" applyProtection="1">
      <alignment vertical="center"/>
    </xf>
    <xf numFmtId="0" fontId="14" fillId="12" borderId="37" xfId="0" applyFont="1" applyFill="1" applyBorder="1" applyAlignment="1">
      <alignment horizontal="center" vertical="center" wrapText="1"/>
    </xf>
    <xf numFmtId="165" fontId="14" fillId="12" borderId="5" xfId="13" applyFont="1" applyFill="1" applyBorder="1" applyAlignment="1" applyProtection="1">
      <alignment horizontal="center" vertical="center"/>
    </xf>
    <xf numFmtId="0" fontId="14" fillId="13" borderId="37" xfId="0" applyFont="1" applyFill="1" applyBorder="1" applyAlignment="1">
      <alignment horizontal="center" vertical="center" wrapText="1"/>
    </xf>
    <xf numFmtId="49" fontId="13" fillId="12" borderId="5" xfId="1" applyNumberFormat="1" applyFont="1" applyFill="1" applyBorder="1" applyAlignment="1" applyProtection="1">
      <alignment horizontal="center" vertical="center" wrapText="1"/>
    </xf>
    <xf numFmtId="165" fontId="18" fillId="12" borderId="5" xfId="1" applyNumberFormat="1" applyFont="1" applyFill="1" applyBorder="1" applyAlignment="1" applyProtection="1">
      <alignment horizontal="center" vertical="center" wrapText="1"/>
    </xf>
    <xf numFmtId="0" fontId="14" fillId="12" borderId="38" xfId="0" applyFont="1" applyFill="1" applyBorder="1" applyAlignment="1">
      <alignment horizontal="center" vertical="center" wrapText="1"/>
    </xf>
    <xf numFmtId="165" fontId="13" fillId="12" borderId="5" xfId="13" applyFont="1" applyFill="1" applyBorder="1" applyAlignment="1" applyProtection="1">
      <alignment horizontal="center" vertical="center"/>
    </xf>
    <xf numFmtId="0" fontId="15" fillId="11" borderId="4" xfId="0" applyFont="1" applyFill="1" applyBorder="1" applyAlignment="1">
      <alignment vertical="center"/>
    </xf>
    <xf numFmtId="165" fontId="15" fillId="15" borderId="4" xfId="13" applyFont="1" applyFill="1" applyBorder="1" applyAlignment="1" applyProtection="1">
      <alignment vertical="center"/>
    </xf>
    <xf numFmtId="165" fontId="15" fillId="15" borderId="13" xfId="13" applyFont="1" applyFill="1" applyBorder="1" applyAlignment="1" applyProtection="1">
      <alignment vertical="center"/>
    </xf>
    <xf numFmtId="165" fontId="15" fillId="15" borderId="11" xfId="13" applyFont="1" applyFill="1" applyBorder="1" applyAlignment="1" applyProtection="1">
      <alignment vertical="center"/>
    </xf>
    <xf numFmtId="0" fontId="0" fillId="11" borderId="6" xfId="0" applyFill="1" applyBorder="1" applyAlignment="1">
      <alignment vertical="center"/>
    </xf>
    <xf numFmtId="0" fontId="0" fillId="11" borderId="0" xfId="0" applyFill="1"/>
    <xf numFmtId="0" fontId="0" fillId="11" borderId="7" xfId="0" applyFill="1" applyBorder="1" applyAlignment="1">
      <alignment horizontal="center" vertical="center"/>
    </xf>
    <xf numFmtId="0" fontId="15" fillId="11" borderId="6" xfId="0" applyFont="1" applyFill="1" applyBorder="1" applyAlignment="1">
      <alignment vertical="center"/>
    </xf>
    <xf numFmtId="0" fontId="15" fillId="11" borderId="0" xfId="0" applyFont="1" applyFill="1" applyAlignment="1">
      <alignment vertical="center" wrapText="1"/>
    </xf>
    <xf numFmtId="0" fontId="0" fillId="11" borderId="0" xfId="0" applyFill="1" applyAlignment="1">
      <alignment vertical="center"/>
    </xf>
    <xf numFmtId="0" fontId="0" fillId="11" borderId="0" xfId="0" applyFill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justify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" fontId="36" fillId="0" borderId="5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169" fontId="27" fillId="0" borderId="5" xfId="78" applyFont="1" applyFill="1" applyBorder="1" applyAlignment="1" applyProtection="1">
      <alignment horizontal="center" vertical="center"/>
    </xf>
    <xf numFmtId="2" fontId="27" fillId="0" borderId="5" xfId="78" applyNumberFormat="1" applyFont="1" applyFill="1" applyBorder="1" applyAlignment="1" applyProtection="1">
      <alignment horizontal="justify" vertical="center" wrapText="1"/>
    </xf>
    <xf numFmtId="4" fontId="27" fillId="0" borderId="5" xfId="78" applyNumberFormat="1" applyFont="1" applyFill="1" applyBorder="1" applyAlignment="1" applyProtection="1">
      <alignment horizontal="center" vertical="center"/>
    </xf>
    <xf numFmtId="0" fontId="26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justify" vertical="center" wrapText="1"/>
    </xf>
    <xf numFmtId="0" fontId="35" fillId="0" borderId="5" xfId="0" applyNumberFormat="1" applyFont="1" applyFill="1" applyBorder="1" applyAlignment="1">
      <alignment horizontal="center" vertical="center"/>
    </xf>
    <xf numFmtId="49" fontId="35" fillId="0" borderId="5" xfId="78" applyNumberFormat="1" applyFont="1" applyFill="1" applyBorder="1" applyAlignment="1" applyProtection="1">
      <alignment horizontal="justify" vertical="center" wrapText="1"/>
    </xf>
    <xf numFmtId="4" fontId="35" fillId="0" borderId="5" xfId="78" applyNumberFormat="1" applyFont="1" applyFill="1" applyBorder="1" applyAlignment="1" applyProtection="1">
      <alignment horizontal="center" vertical="center"/>
    </xf>
    <xf numFmtId="49" fontId="26" fillId="0" borderId="5" xfId="0" applyNumberFormat="1" applyFont="1" applyFill="1" applyBorder="1" applyAlignment="1">
      <alignment horizontal="justify" vertical="center"/>
    </xf>
    <xf numFmtId="49" fontId="39" fillId="0" borderId="12" xfId="0" applyNumberFormat="1" applyFont="1" applyFill="1" applyBorder="1" applyAlignment="1">
      <alignment horizontal="center" vertical="center"/>
    </xf>
    <xf numFmtId="4" fontId="54" fillId="9" borderId="5" xfId="0" applyNumberFormat="1" applyFont="1" applyFill="1" applyBorder="1" applyAlignment="1">
      <alignment horizontal="center" vertical="center"/>
    </xf>
    <xf numFmtId="170" fontId="23" fillId="5" borderId="11" xfId="94" applyNumberFormat="1" applyFont="1" applyFill="1" applyBorder="1" applyAlignment="1">
      <alignment vertical="center"/>
    </xf>
    <xf numFmtId="170" fontId="25" fillId="7" borderId="50" xfId="94" applyNumberFormat="1" applyFont="1" applyFill="1" applyBorder="1" applyAlignment="1">
      <alignment horizontal="center" vertical="center"/>
    </xf>
    <xf numFmtId="10" fontId="25" fillId="7" borderId="50" xfId="94" applyNumberFormat="1" applyFont="1" applyFill="1" applyBorder="1" applyAlignment="1">
      <alignment horizontal="center" vertical="center"/>
    </xf>
    <xf numFmtId="10" fontId="25" fillId="6" borderId="51" xfId="94" applyNumberFormat="1" applyFont="1" applyFill="1" applyBorder="1" applyAlignment="1">
      <alignment horizontal="center" vertical="center"/>
    </xf>
    <xf numFmtId="49" fontId="56" fillId="0" borderId="3" xfId="0" applyNumberFormat="1" applyFont="1" applyBorder="1" applyAlignment="1">
      <alignment horizontal="center" vertical="center"/>
    </xf>
    <xf numFmtId="0" fontId="57" fillId="0" borderId="3" xfId="0" applyFont="1" applyBorder="1"/>
    <xf numFmtId="49" fontId="58" fillId="0" borderId="3" xfId="0" applyNumberFormat="1" applyFont="1" applyBorder="1" applyAlignment="1">
      <alignment horizontal="justify" vertical="center" wrapText="1"/>
    </xf>
    <xf numFmtId="4" fontId="56" fillId="0" borderId="3" xfId="0" applyNumberFormat="1" applyFont="1" applyBorder="1" applyAlignment="1">
      <alignment horizontal="center" vertical="center"/>
    </xf>
    <xf numFmtId="4" fontId="58" fillId="0" borderId="3" xfId="0" applyNumberFormat="1" applyFont="1" applyFill="1" applyBorder="1" applyAlignment="1">
      <alignment horizontal="center" vertical="center"/>
    </xf>
    <xf numFmtId="4" fontId="27" fillId="16" borderId="5" xfId="0" applyNumberFormat="1" applyFont="1" applyFill="1" applyBorder="1" applyAlignment="1">
      <alignment horizontal="center" vertical="center"/>
    </xf>
    <xf numFmtId="4" fontId="36" fillId="16" borderId="5" xfId="0" applyNumberFormat="1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42" fillId="0" borderId="41" xfId="0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  <xf numFmtId="0" fontId="42" fillId="0" borderId="18" xfId="0" applyFont="1" applyFill="1" applyBorder="1" applyAlignment="1">
      <alignment horizontal="center" vertical="center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right" vertical="center" wrapText="1"/>
    </xf>
    <xf numFmtId="49" fontId="39" fillId="0" borderId="5" xfId="0" applyNumberFormat="1" applyFont="1" applyFill="1" applyBorder="1" applyAlignment="1">
      <alignment horizontal="left" vertical="center"/>
    </xf>
    <xf numFmtId="2" fontId="23" fillId="0" borderId="43" xfId="94" applyNumberFormat="1" applyFont="1" applyBorder="1" applyAlignment="1">
      <alignment horizontal="right" vertical="center"/>
    </xf>
    <xf numFmtId="0" fontId="24" fillId="0" borderId="44" xfId="94" applyFont="1" applyBorder="1"/>
    <xf numFmtId="0" fontId="24" fillId="0" borderId="45" xfId="94" applyFont="1" applyBorder="1"/>
    <xf numFmtId="1" fontId="23" fillId="0" borderId="5" xfId="94" applyNumberFormat="1" applyFont="1" applyBorder="1" applyAlignment="1">
      <alignment horizontal="center" vertical="center"/>
    </xf>
    <xf numFmtId="0" fontId="24" fillId="0" borderId="5" xfId="94" applyFont="1" applyBorder="1"/>
    <xf numFmtId="1" fontId="23" fillId="6" borderId="5" xfId="94" applyNumberFormat="1" applyFont="1" applyFill="1" applyBorder="1" applyAlignment="1">
      <alignment horizontal="center" vertical="center" wrapText="1"/>
    </xf>
    <xf numFmtId="0" fontId="24" fillId="0" borderId="5" xfId="94" applyFont="1" applyBorder="1" applyAlignment="1">
      <alignment wrapText="1"/>
    </xf>
    <xf numFmtId="1" fontId="23" fillId="5" borderId="42" xfId="94" applyNumberFormat="1" applyFont="1" applyFill="1" applyBorder="1" applyAlignment="1">
      <alignment horizontal="right" vertical="center"/>
    </xf>
    <xf numFmtId="0" fontId="24" fillId="0" borderId="16" xfId="94" applyFont="1" applyBorder="1"/>
    <xf numFmtId="2" fontId="23" fillId="7" borderId="42" xfId="94" applyNumberFormat="1" applyFont="1" applyFill="1" applyBorder="1" applyAlignment="1">
      <alignment horizontal="right" vertical="center"/>
    </xf>
    <xf numFmtId="0" fontId="24" fillId="0" borderId="17" xfId="94" applyFont="1" applyBorder="1"/>
    <xf numFmtId="2" fontId="23" fillId="0" borderId="42" xfId="94" applyNumberFormat="1" applyFont="1" applyBorder="1" applyAlignment="1">
      <alignment horizontal="right" vertical="center"/>
    </xf>
    <xf numFmtId="1" fontId="23" fillId="0" borderId="47" xfId="94" applyNumberFormat="1" applyFont="1" applyBorder="1" applyAlignment="1">
      <alignment horizontal="center" vertical="center"/>
    </xf>
    <xf numFmtId="1" fontId="23" fillId="0" borderId="48" xfId="94" applyNumberFormat="1" applyFont="1" applyBorder="1" applyAlignment="1">
      <alignment horizontal="center" vertical="center"/>
    </xf>
    <xf numFmtId="1" fontId="23" fillId="0" borderId="49" xfId="94" applyNumberFormat="1" applyFont="1" applyBorder="1" applyAlignment="1">
      <alignment horizontal="center" vertical="center"/>
    </xf>
    <xf numFmtId="0" fontId="25" fillId="0" borderId="2" xfId="94" applyFont="1" applyBorder="1" applyAlignment="1">
      <alignment horizontal="center"/>
    </xf>
    <xf numFmtId="0" fontId="25" fillId="0" borderId="3" xfId="94" applyFont="1" applyBorder="1" applyAlignment="1">
      <alignment horizontal="center"/>
    </xf>
    <xf numFmtId="0" fontId="25" fillId="0" borderId="19" xfId="94" applyFont="1" applyBorder="1" applyAlignment="1">
      <alignment horizontal="center"/>
    </xf>
    <xf numFmtId="1" fontId="23" fillId="6" borderId="5" xfId="94" applyNumberFormat="1" applyFont="1" applyFill="1" applyBorder="1" applyAlignment="1">
      <alignment horizontal="center" vertical="center"/>
    </xf>
    <xf numFmtId="0" fontId="38" fillId="0" borderId="40" xfId="0" applyFont="1" applyBorder="1" applyAlignment="1">
      <alignment horizontal="center" vertical="center"/>
    </xf>
    <xf numFmtId="0" fontId="41" fillId="0" borderId="40" xfId="0" applyFont="1" applyBorder="1" applyAlignment="1">
      <alignment horizontal="center" vertical="center"/>
    </xf>
    <xf numFmtId="0" fontId="42" fillId="0" borderId="4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left" vertical="center"/>
    </xf>
    <xf numFmtId="49" fontId="39" fillId="0" borderId="13" xfId="0" applyNumberFormat="1" applyFont="1" applyFill="1" applyBorder="1" applyAlignment="1">
      <alignment horizontal="left" vertical="center"/>
    </xf>
    <xf numFmtId="49" fontId="39" fillId="0" borderId="11" xfId="0" applyNumberFormat="1" applyFont="1" applyFill="1" applyBorder="1" applyAlignment="1">
      <alignment horizontal="left" vertical="center"/>
    </xf>
    <xf numFmtId="2" fontId="23" fillId="5" borderId="5" xfId="94" applyNumberFormat="1" applyFont="1" applyFill="1" applyBorder="1" applyAlignment="1">
      <alignment horizontal="center" vertical="center"/>
    </xf>
    <xf numFmtId="2" fontId="23" fillId="5" borderId="5" xfId="94" applyNumberFormat="1" applyFont="1" applyFill="1" applyBorder="1" applyAlignment="1">
      <alignment horizontal="center" vertical="center" wrapText="1"/>
    </xf>
    <xf numFmtId="0" fontId="42" fillId="0" borderId="41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19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 wrapText="1"/>
    </xf>
    <xf numFmtId="0" fontId="30" fillId="4" borderId="18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4" borderId="8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right" vertical="center"/>
    </xf>
    <xf numFmtId="0" fontId="31" fillId="4" borderId="3" xfId="0" applyFont="1" applyFill="1" applyBorder="1" applyAlignment="1">
      <alignment horizontal="right" vertical="center"/>
    </xf>
    <xf numFmtId="0" fontId="31" fillId="4" borderId="19" xfId="0" applyFont="1" applyFill="1" applyBorder="1" applyAlignment="1">
      <alignment horizontal="right" vertical="center"/>
    </xf>
    <xf numFmtId="0" fontId="31" fillId="4" borderId="21" xfId="0" applyFont="1" applyFill="1" applyBorder="1" applyAlignment="1">
      <alignment horizontal="right" vertical="center"/>
    </xf>
    <xf numFmtId="0" fontId="31" fillId="4" borderId="9" xfId="0" applyFont="1" applyFill="1" applyBorder="1" applyAlignment="1">
      <alignment horizontal="right" vertical="center"/>
    </xf>
    <xf numFmtId="0" fontId="31" fillId="4" borderId="18" xfId="0" applyFont="1" applyFill="1" applyBorder="1" applyAlignment="1">
      <alignment horizontal="right" vertical="center"/>
    </xf>
    <xf numFmtId="10" fontId="29" fillId="4" borderId="2" xfId="93" applyNumberFormat="1" applyFont="1" applyFill="1" applyBorder="1" applyAlignment="1" applyProtection="1">
      <alignment horizontal="center" vertical="center"/>
    </xf>
    <xf numFmtId="10" fontId="21" fillId="4" borderId="3" xfId="0" applyNumberFormat="1" applyFont="1" applyFill="1" applyBorder="1"/>
    <xf numFmtId="10" fontId="21" fillId="4" borderId="19" xfId="0" applyNumberFormat="1" applyFont="1" applyFill="1" applyBorder="1"/>
    <xf numFmtId="10" fontId="21" fillId="4" borderId="8" xfId="0" applyNumberFormat="1" applyFont="1" applyFill="1" applyBorder="1"/>
    <xf numFmtId="10" fontId="21" fillId="4" borderId="9" xfId="0" applyNumberFormat="1" applyFont="1" applyFill="1" applyBorder="1"/>
    <xf numFmtId="10" fontId="21" fillId="4" borderId="18" xfId="0" applyNumberFormat="1" applyFont="1" applyFill="1" applyBorder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0" fontId="30" fillId="0" borderId="23" xfId="0" applyNumberFormat="1" applyFont="1" applyFill="1" applyBorder="1" applyAlignment="1">
      <alignment horizontal="center" vertical="center"/>
    </xf>
    <xf numFmtId="10" fontId="30" fillId="0" borderId="24" xfId="0" applyNumberFormat="1" applyFont="1" applyFill="1" applyBorder="1" applyAlignment="1">
      <alignment horizontal="center" vertical="center"/>
    </xf>
    <xf numFmtId="10" fontId="30" fillId="0" borderId="25" xfId="0" applyNumberFormat="1" applyFont="1" applyFill="1" applyBorder="1" applyAlignment="1">
      <alignment horizontal="center" vertical="center"/>
    </xf>
    <xf numFmtId="10" fontId="31" fillId="10" borderId="23" xfId="93" applyNumberFormat="1" applyFont="1" applyFill="1" applyBorder="1" applyAlignment="1" applyProtection="1">
      <alignment horizontal="right" vertical="center"/>
      <protection locked="0"/>
    </xf>
    <xf numFmtId="10" fontId="31" fillId="10" borderId="24" xfId="93" applyNumberFormat="1" applyFont="1" applyFill="1" applyBorder="1" applyAlignment="1" applyProtection="1">
      <alignment horizontal="right" vertical="center"/>
      <protection locked="0"/>
    </xf>
    <xf numFmtId="0" fontId="32" fillId="0" borderId="20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19" xfId="0" applyFont="1" applyBorder="1" applyAlignment="1">
      <alignment horizontal="left" vertical="center" wrapText="1"/>
    </xf>
    <xf numFmtId="0" fontId="32" fillId="0" borderId="30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left" vertical="center" wrapText="1"/>
    </xf>
    <xf numFmtId="10" fontId="30" fillId="0" borderId="27" xfId="0" applyNumberFormat="1" applyFont="1" applyFill="1" applyBorder="1" applyAlignment="1">
      <alignment horizontal="center" vertical="center"/>
    </xf>
    <xf numFmtId="10" fontId="30" fillId="0" borderId="28" xfId="0" applyNumberFormat="1" applyFont="1" applyFill="1" applyBorder="1" applyAlignment="1">
      <alignment horizontal="center" vertical="center"/>
    </xf>
    <xf numFmtId="10" fontId="30" fillId="0" borderId="29" xfId="0" applyNumberFormat="1" applyFont="1" applyFill="1" applyBorder="1" applyAlignment="1">
      <alignment horizontal="center" vertical="center"/>
    </xf>
    <xf numFmtId="10" fontId="30" fillId="0" borderId="32" xfId="0" applyNumberFormat="1" applyFont="1" applyFill="1" applyBorder="1" applyAlignment="1">
      <alignment horizontal="center" vertical="center"/>
    </xf>
    <xf numFmtId="10" fontId="30" fillId="0" borderId="33" xfId="0" applyNumberFormat="1" applyFont="1" applyFill="1" applyBorder="1" applyAlignment="1">
      <alignment horizontal="center" vertical="center"/>
    </xf>
    <xf numFmtId="10" fontId="31" fillId="10" borderId="32" xfId="93" applyNumberFormat="1" applyFont="1" applyFill="1" applyBorder="1" applyAlignment="1" applyProtection="1">
      <alignment horizontal="right" vertical="center"/>
      <protection locked="0"/>
    </xf>
    <xf numFmtId="10" fontId="31" fillId="10" borderId="33" xfId="93" applyNumberFormat="1" applyFont="1" applyFill="1" applyBorder="1" applyAlignment="1" applyProtection="1">
      <alignment horizontal="right" vertical="center"/>
      <protection locked="0"/>
    </xf>
    <xf numFmtId="10" fontId="30" fillId="0" borderId="13" xfId="0" applyNumberFormat="1" applyFont="1" applyBorder="1" applyAlignment="1">
      <alignment horizontal="center" vertical="center"/>
    </xf>
    <xf numFmtId="10" fontId="30" fillId="0" borderId="11" xfId="0" applyNumberFormat="1" applyFont="1" applyBorder="1" applyAlignment="1">
      <alignment horizontal="center" vertical="center"/>
    </xf>
    <xf numFmtId="0" fontId="30" fillId="0" borderId="6" xfId="0" applyFont="1" applyBorder="1" applyAlignment="1">
      <alignment horizontal="left" vertical="center"/>
    </xf>
    <xf numFmtId="0" fontId="49" fillId="0" borderId="41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10" fontId="30" fillId="0" borderId="23" xfId="0" applyNumberFormat="1" applyFont="1" applyBorder="1" applyAlignment="1">
      <alignment horizontal="center" vertical="center"/>
    </xf>
    <xf numFmtId="10" fontId="30" fillId="0" borderId="24" xfId="0" applyNumberFormat="1" applyFont="1" applyBorder="1" applyAlignment="1">
      <alignment horizontal="center" vertical="center"/>
    </xf>
    <xf numFmtId="10" fontId="30" fillId="0" borderId="25" xfId="0" applyNumberFormat="1" applyFont="1" applyBorder="1" applyAlignment="1">
      <alignment horizontal="center" vertical="center"/>
    </xf>
    <xf numFmtId="10" fontId="30" fillId="0" borderId="27" xfId="0" applyNumberFormat="1" applyFont="1" applyBorder="1" applyAlignment="1">
      <alignment horizontal="center" vertical="center"/>
    </xf>
    <xf numFmtId="10" fontId="30" fillId="0" borderId="28" xfId="0" applyNumberFormat="1" applyFont="1" applyBorder="1" applyAlignment="1">
      <alignment horizontal="center" vertical="center"/>
    </xf>
    <xf numFmtId="10" fontId="30" fillId="0" borderId="29" xfId="0" applyNumberFormat="1" applyFont="1" applyBorder="1" applyAlignment="1">
      <alignment horizontal="center" vertical="center"/>
    </xf>
    <xf numFmtId="10" fontId="31" fillId="10" borderId="27" xfId="93" applyNumberFormat="1" applyFont="1" applyFill="1" applyBorder="1" applyAlignment="1" applyProtection="1">
      <alignment horizontal="right" vertical="center"/>
      <protection locked="0"/>
    </xf>
    <xf numFmtId="10" fontId="31" fillId="10" borderId="28" xfId="93" applyNumberFormat="1" applyFont="1" applyFill="1" applyBorder="1" applyAlignment="1" applyProtection="1">
      <alignment horizontal="right" vertical="center"/>
      <protection locked="0"/>
    </xf>
    <xf numFmtId="10" fontId="30" fillId="0" borderId="33" xfId="0" applyNumberFormat="1" applyFont="1" applyBorder="1" applyAlignment="1">
      <alignment horizontal="center" vertical="center"/>
    </xf>
    <xf numFmtId="10" fontId="30" fillId="0" borderId="35" xfId="0" applyNumberFormat="1" applyFont="1" applyBorder="1" applyAlignment="1">
      <alignment horizontal="center" vertical="center"/>
    </xf>
    <xf numFmtId="10" fontId="30" fillId="0" borderId="32" xfId="0" applyNumberFormat="1" applyFont="1" applyBorder="1" applyAlignment="1">
      <alignment horizontal="center" vertical="center"/>
    </xf>
    <xf numFmtId="10" fontId="30" fillId="0" borderId="36" xfId="0" applyNumberFormat="1" applyFont="1" applyBorder="1" applyAlignment="1">
      <alignment horizontal="center" vertical="center"/>
    </xf>
    <xf numFmtId="0" fontId="40" fillId="11" borderId="2" xfId="0" applyFont="1" applyFill="1" applyBorder="1" applyAlignment="1">
      <alignment horizontal="center" vertical="center"/>
    </xf>
    <xf numFmtId="0" fontId="40" fillId="11" borderId="3" xfId="0" applyFont="1" applyFill="1" applyBorder="1" applyAlignment="1">
      <alignment horizontal="center" vertical="center"/>
    </xf>
    <xf numFmtId="0" fontId="40" fillId="11" borderId="19" xfId="0" applyFont="1" applyFill="1" applyBorder="1" applyAlignment="1">
      <alignment horizontal="center" vertical="center"/>
    </xf>
    <xf numFmtId="0" fontId="38" fillId="11" borderId="40" xfId="0" applyFont="1" applyFill="1" applyBorder="1" applyAlignment="1">
      <alignment horizontal="center" vertical="center"/>
    </xf>
    <xf numFmtId="0" fontId="38" fillId="11" borderId="0" xfId="0" applyFont="1" applyFill="1" applyBorder="1" applyAlignment="1">
      <alignment horizontal="center" vertical="center"/>
    </xf>
    <xf numFmtId="0" fontId="38" fillId="11" borderId="7" xfId="0" applyFont="1" applyFill="1" applyBorder="1" applyAlignment="1">
      <alignment horizontal="center" vertical="center"/>
    </xf>
    <xf numFmtId="0" fontId="41" fillId="11" borderId="40" xfId="0" applyFont="1" applyFill="1" applyBorder="1" applyAlignment="1">
      <alignment horizontal="center" vertical="center"/>
    </xf>
    <xf numFmtId="0" fontId="41" fillId="11" borderId="0" xfId="0" applyFont="1" applyFill="1" applyBorder="1" applyAlignment="1">
      <alignment horizontal="center" vertical="center"/>
    </xf>
    <xf numFmtId="0" fontId="41" fillId="11" borderId="7" xfId="0" applyFont="1" applyFill="1" applyBorder="1" applyAlignment="1">
      <alignment horizontal="center" vertical="center"/>
    </xf>
    <xf numFmtId="0" fontId="42" fillId="11" borderId="41" xfId="0" applyFont="1" applyFill="1" applyBorder="1" applyAlignment="1">
      <alignment horizontal="center" vertical="center"/>
    </xf>
    <xf numFmtId="0" fontId="42" fillId="11" borderId="9" xfId="0" applyFont="1" applyFill="1" applyBorder="1" applyAlignment="1">
      <alignment horizontal="center" vertical="center"/>
    </xf>
    <xf numFmtId="0" fontId="42" fillId="11" borderId="18" xfId="0" applyFont="1" applyFill="1" applyBorder="1" applyAlignment="1">
      <alignment horizontal="center" vertical="center"/>
    </xf>
    <xf numFmtId="49" fontId="39" fillId="11" borderId="4" xfId="0" applyNumberFormat="1" applyFont="1" applyFill="1" applyBorder="1" applyAlignment="1">
      <alignment horizontal="left" vertical="center"/>
    </xf>
    <xf numFmtId="49" fontId="39" fillId="11" borderId="13" xfId="0" applyNumberFormat="1" applyFont="1" applyFill="1" applyBorder="1" applyAlignment="1">
      <alignment horizontal="left" vertical="center"/>
    </xf>
    <xf numFmtId="49" fontId="39" fillId="11" borderId="11" xfId="0" applyNumberFormat="1" applyFont="1" applyFill="1" applyBorder="1" applyAlignment="1">
      <alignment horizontal="left" vertical="center"/>
    </xf>
    <xf numFmtId="0" fontId="46" fillId="11" borderId="5" xfId="0" applyFont="1" applyFill="1" applyBorder="1" applyAlignment="1">
      <alignment horizontal="center" vertical="center"/>
    </xf>
    <xf numFmtId="165" fontId="46" fillId="12" borderId="39" xfId="13" applyFont="1" applyFill="1" applyBorder="1" applyAlignment="1" applyProtection="1">
      <alignment horizontal="center" vertical="center"/>
    </xf>
    <xf numFmtId="165" fontId="46" fillId="12" borderId="3" xfId="13" applyFont="1" applyFill="1" applyBorder="1" applyAlignment="1" applyProtection="1">
      <alignment horizontal="center" vertical="center"/>
    </xf>
    <xf numFmtId="0" fontId="16" fillId="11" borderId="12" xfId="0" applyFont="1" applyFill="1" applyBorder="1" applyAlignment="1">
      <alignment horizontal="center" vertical="center"/>
    </xf>
    <xf numFmtId="165" fontId="15" fillId="11" borderId="7" xfId="13" applyFont="1" applyFill="1" applyBorder="1" applyAlignment="1" applyProtection="1">
      <alignment horizontal="center" vertical="center"/>
    </xf>
    <xf numFmtId="165" fontId="14" fillId="12" borderId="39" xfId="13" applyFont="1" applyFill="1" applyBorder="1" applyAlignment="1" applyProtection="1">
      <alignment horizontal="center" vertical="center"/>
    </xf>
    <xf numFmtId="165" fontId="14" fillId="12" borderId="3" xfId="13" applyFont="1" applyFill="1" applyBorder="1" applyAlignment="1" applyProtection="1">
      <alignment horizontal="center" vertical="center"/>
    </xf>
    <xf numFmtId="0" fontId="15" fillId="11" borderId="5" xfId="0" applyFont="1" applyFill="1" applyBorder="1" applyAlignment="1">
      <alignment horizontal="center" vertical="center"/>
    </xf>
  </cellXfs>
  <cellStyles count="113">
    <cellStyle name="Comma 2" xfId="2" xr:uid="{00000000-0005-0000-0000-000000000000}"/>
    <cellStyle name="Comma 3" xfId="3" xr:uid="{00000000-0005-0000-0000-000001000000}"/>
    <cellStyle name="Comma 4" xfId="4" xr:uid="{00000000-0005-0000-0000-000002000000}"/>
    <cellStyle name="Comma 4 2" xfId="5" xr:uid="{00000000-0005-0000-0000-000003000000}"/>
    <cellStyle name="Comma 5" xfId="6" xr:uid="{00000000-0005-0000-0000-000004000000}"/>
    <cellStyle name="Comma 5 2" xfId="7" xr:uid="{00000000-0005-0000-0000-000005000000}"/>
    <cellStyle name="Hiperlink" xfId="1" builtinId="8"/>
    <cellStyle name="Hiperlink 2" xfId="8" xr:uid="{00000000-0005-0000-0000-000007000000}"/>
    <cellStyle name="Indefinido" xfId="9" xr:uid="{00000000-0005-0000-0000-000008000000}"/>
    <cellStyle name="material" xfId="10" xr:uid="{00000000-0005-0000-0000-000009000000}"/>
    <cellStyle name="Moeda 2" xfId="11" xr:uid="{00000000-0005-0000-0000-00000A000000}"/>
    <cellStyle name="Moeda 2 2" xfId="12" xr:uid="{00000000-0005-0000-0000-00000B000000}"/>
    <cellStyle name="Moeda 2 4" xfId="92" xr:uid="{00000000-0005-0000-0000-00000C000000}"/>
    <cellStyle name="Moeda 2 4 2" xfId="99" xr:uid="{00000000-0005-0000-0000-00000D000000}"/>
    <cellStyle name="Moeda 2 4 2 2" xfId="109" xr:uid="{00000000-0005-0000-0000-00000E000000}"/>
    <cellStyle name="Moeda 2 4 3" xfId="104" xr:uid="{00000000-0005-0000-0000-00000F000000}"/>
    <cellStyle name="Moeda 3" xfId="13" xr:uid="{00000000-0005-0000-0000-000010000000}"/>
    <cellStyle name="Moeda 3 2" xfId="87" xr:uid="{00000000-0005-0000-0000-000011000000}"/>
    <cellStyle name="Moeda 3 2 2" xfId="95" xr:uid="{00000000-0005-0000-0000-000012000000}"/>
    <cellStyle name="Moeda 3 2 2 2" xfId="105" xr:uid="{00000000-0005-0000-0000-000013000000}"/>
    <cellStyle name="Moeda 3 2 3" xfId="100" xr:uid="{00000000-0005-0000-0000-000014000000}"/>
    <cellStyle name="Moeda 3 2 4" xfId="110" xr:uid="{00000000-0005-0000-0000-000015000000}"/>
    <cellStyle name="Moeda 4" xfId="91" xr:uid="{00000000-0005-0000-0000-000016000000}"/>
    <cellStyle name="Moeda 4 2" xfId="98" xr:uid="{00000000-0005-0000-0000-000017000000}"/>
    <cellStyle name="Moeda 4 2 2" xfId="108" xr:uid="{00000000-0005-0000-0000-000018000000}"/>
    <cellStyle name="Moeda 4 3" xfId="103" xr:uid="{00000000-0005-0000-0000-000019000000}"/>
    <cellStyle name="NívelLinha_1_00 - PQ 7007-0000-F15-0000-002 REV B" xfId="65" xr:uid="{00000000-0005-0000-0000-00001A000000}"/>
    <cellStyle name="Normal" xfId="0" builtinId="0"/>
    <cellStyle name="Normal 10" xfId="14" xr:uid="{00000000-0005-0000-0000-00001C000000}"/>
    <cellStyle name="Normal 11" xfId="15" xr:uid="{00000000-0005-0000-0000-00001D000000}"/>
    <cellStyle name="Normal 12" xfId="16" xr:uid="{00000000-0005-0000-0000-00001E000000}"/>
    <cellStyle name="Normal 12 2" xfId="17" xr:uid="{00000000-0005-0000-0000-00001F000000}"/>
    <cellStyle name="Normal 13" xfId="18" xr:uid="{00000000-0005-0000-0000-000020000000}"/>
    <cellStyle name="Normal 14" xfId="89" xr:uid="{00000000-0005-0000-0000-000021000000}"/>
    <cellStyle name="Normal 14 2" xfId="96" xr:uid="{00000000-0005-0000-0000-000022000000}"/>
    <cellStyle name="Normal 14 2 2" xfId="106" xr:uid="{00000000-0005-0000-0000-000023000000}"/>
    <cellStyle name="Normal 14 3" xfId="101" xr:uid="{00000000-0005-0000-0000-000024000000}"/>
    <cellStyle name="Normal 15" xfId="94" xr:uid="{00000000-0005-0000-0000-000025000000}"/>
    <cellStyle name="Normal 16" xfId="19" xr:uid="{00000000-0005-0000-0000-000026000000}"/>
    <cellStyle name="Normal 17" xfId="112" xr:uid="{00000000-0005-0000-0000-000027000000}"/>
    <cellStyle name="Normal 18" xfId="20" xr:uid="{00000000-0005-0000-0000-000028000000}"/>
    <cellStyle name="Normal 2" xfId="21" xr:uid="{00000000-0005-0000-0000-000029000000}"/>
    <cellStyle name="Normal 2 2" xfId="22" xr:uid="{00000000-0005-0000-0000-00002A000000}"/>
    <cellStyle name="Normal 2 2 2" xfId="23" xr:uid="{00000000-0005-0000-0000-00002B000000}"/>
    <cellStyle name="Normal 2 2 3" xfId="88" xr:uid="{00000000-0005-0000-0000-00002C000000}"/>
    <cellStyle name="Normal 2 3" xfId="24" xr:uid="{00000000-0005-0000-0000-00002D000000}"/>
    <cellStyle name="Normal 2 3 2" xfId="25" xr:uid="{00000000-0005-0000-0000-00002E000000}"/>
    <cellStyle name="Normal 2 4" xfId="111" xr:uid="{00000000-0005-0000-0000-00002F000000}"/>
    <cellStyle name="Normal 2_Plan1" xfId="26" xr:uid="{00000000-0005-0000-0000-000030000000}"/>
    <cellStyle name="Normal 3" xfId="27" xr:uid="{00000000-0005-0000-0000-000031000000}"/>
    <cellStyle name="Normal 3 10" xfId="28" xr:uid="{00000000-0005-0000-0000-000032000000}"/>
    <cellStyle name="Normal 3 11" xfId="29" xr:uid="{00000000-0005-0000-0000-000033000000}"/>
    <cellStyle name="Normal 3 2" xfId="30" xr:uid="{00000000-0005-0000-0000-000034000000}"/>
    <cellStyle name="Normal 3 2 2" xfId="31" xr:uid="{00000000-0005-0000-0000-000035000000}"/>
    <cellStyle name="Normal 3 6" xfId="32" xr:uid="{00000000-0005-0000-0000-000036000000}"/>
    <cellStyle name="Normal 4" xfId="33" xr:uid="{00000000-0005-0000-0000-000037000000}"/>
    <cellStyle name="Normal 4 2" xfId="34" xr:uid="{00000000-0005-0000-0000-000038000000}"/>
    <cellStyle name="Normal 4 29" xfId="35" xr:uid="{00000000-0005-0000-0000-000039000000}"/>
    <cellStyle name="Normal 5" xfId="36" xr:uid="{00000000-0005-0000-0000-00003A000000}"/>
    <cellStyle name="Normal 5 10" xfId="37" xr:uid="{00000000-0005-0000-0000-00003B000000}"/>
    <cellStyle name="Normal 5 11" xfId="38" xr:uid="{00000000-0005-0000-0000-00003C000000}"/>
    <cellStyle name="Normal 5 13" xfId="39" xr:uid="{00000000-0005-0000-0000-00003D000000}"/>
    <cellStyle name="Normal 5 16" xfId="40" xr:uid="{00000000-0005-0000-0000-00003E000000}"/>
    <cellStyle name="Normal 5 18" xfId="41" xr:uid="{00000000-0005-0000-0000-00003F000000}"/>
    <cellStyle name="Normal 5 19" xfId="42" xr:uid="{00000000-0005-0000-0000-000040000000}"/>
    <cellStyle name="Normal 5 2" xfId="43" xr:uid="{00000000-0005-0000-0000-000041000000}"/>
    <cellStyle name="Normal 5 2 2" xfId="44" xr:uid="{00000000-0005-0000-0000-000042000000}"/>
    <cellStyle name="Normal 5 20" xfId="45" xr:uid="{00000000-0005-0000-0000-000043000000}"/>
    <cellStyle name="Normal 5 3" xfId="46" xr:uid="{00000000-0005-0000-0000-000044000000}"/>
    <cellStyle name="Normal 5 3 2" xfId="47" xr:uid="{00000000-0005-0000-0000-000045000000}"/>
    <cellStyle name="Normal 5 3 3" xfId="48" xr:uid="{00000000-0005-0000-0000-000046000000}"/>
    <cellStyle name="Normal 5 4" xfId="49" xr:uid="{00000000-0005-0000-0000-000047000000}"/>
    <cellStyle name="Normal 5 5" xfId="50" xr:uid="{00000000-0005-0000-0000-000048000000}"/>
    <cellStyle name="Normal 5 6" xfId="51" xr:uid="{00000000-0005-0000-0000-000049000000}"/>
    <cellStyle name="Normal 5 7" xfId="52" xr:uid="{00000000-0005-0000-0000-00004A000000}"/>
    <cellStyle name="Normal 5 8" xfId="53" xr:uid="{00000000-0005-0000-0000-00004B000000}"/>
    <cellStyle name="Normal 5 9" xfId="54" xr:uid="{00000000-0005-0000-0000-00004C000000}"/>
    <cellStyle name="Normal 5_Plan1" xfId="55" xr:uid="{00000000-0005-0000-0000-00004D000000}"/>
    <cellStyle name="Normal 6" xfId="56" xr:uid="{00000000-0005-0000-0000-00004E000000}"/>
    <cellStyle name="Normal 6 13" xfId="57" xr:uid="{00000000-0005-0000-0000-00004F000000}"/>
    <cellStyle name="Normal 6 2" xfId="58" xr:uid="{00000000-0005-0000-0000-000050000000}"/>
    <cellStyle name="Normal 7" xfId="59" xr:uid="{00000000-0005-0000-0000-000051000000}"/>
    <cellStyle name="Normal 7 2" xfId="60" xr:uid="{00000000-0005-0000-0000-000052000000}"/>
    <cellStyle name="Normal 8" xfId="61" xr:uid="{00000000-0005-0000-0000-000053000000}"/>
    <cellStyle name="Normal 8 2" xfId="62" xr:uid="{00000000-0005-0000-0000-000054000000}"/>
    <cellStyle name="Normal 9" xfId="63" xr:uid="{00000000-0005-0000-0000-000055000000}"/>
    <cellStyle name="Nota 2" xfId="64" xr:uid="{00000000-0005-0000-0000-000056000000}"/>
    <cellStyle name="Porcentagem" xfId="93" builtinId="5"/>
    <cellStyle name="Porcentagem 2" xfId="66" xr:uid="{00000000-0005-0000-0000-000058000000}"/>
    <cellStyle name="Porcentagem 2 2" xfId="67" xr:uid="{00000000-0005-0000-0000-000059000000}"/>
    <cellStyle name="Porcentagem 3" xfId="68" xr:uid="{00000000-0005-0000-0000-00005A000000}"/>
    <cellStyle name="Porcentagem 4" xfId="69" xr:uid="{00000000-0005-0000-0000-00005B000000}"/>
    <cellStyle name="Sep. milhar [0]" xfId="70" xr:uid="{00000000-0005-0000-0000-00005C000000}"/>
    <cellStyle name="Sep. milhar [0] 2" xfId="86" xr:uid="{00000000-0005-0000-0000-00005D000000}"/>
    <cellStyle name="Separador de milhares 2" xfId="71" xr:uid="{00000000-0005-0000-0000-00005E000000}"/>
    <cellStyle name="Separador de milhares 2 2" xfId="72" xr:uid="{00000000-0005-0000-0000-00005F000000}"/>
    <cellStyle name="Separador de milhares 3" xfId="73" xr:uid="{00000000-0005-0000-0000-000060000000}"/>
    <cellStyle name="Separador de milhares 3 2" xfId="74" xr:uid="{00000000-0005-0000-0000-000061000000}"/>
    <cellStyle name="Separador de milhares 3 3" xfId="75" xr:uid="{00000000-0005-0000-0000-000062000000}"/>
    <cellStyle name="Sepavador de milhares [0]_Pasta2" xfId="76" xr:uid="{00000000-0005-0000-0000-000063000000}"/>
    <cellStyle name="Vírgula 2" xfId="77" xr:uid="{00000000-0005-0000-0000-000064000000}"/>
    <cellStyle name="Vírgula 2 2" xfId="78" xr:uid="{00000000-0005-0000-0000-000065000000}"/>
    <cellStyle name="Vírgula 2 2 3" xfId="90" xr:uid="{00000000-0005-0000-0000-000066000000}"/>
    <cellStyle name="Vírgula 2 2 3 2" xfId="97" xr:uid="{00000000-0005-0000-0000-000067000000}"/>
    <cellStyle name="Vírgula 2 2 3 2 2" xfId="107" xr:uid="{00000000-0005-0000-0000-000068000000}"/>
    <cellStyle name="Vírgula 2 2 3 3" xfId="102" xr:uid="{00000000-0005-0000-0000-000069000000}"/>
    <cellStyle name="Vírgula 2 3" xfId="79" xr:uid="{00000000-0005-0000-0000-00006A000000}"/>
    <cellStyle name="Vírgula 3" xfId="80" xr:uid="{00000000-0005-0000-0000-00006B000000}"/>
    <cellStyle name="Vírgula 3 2" xfId="81" xr:uid="{00000000-0005-0000-0000-00006C000000}"/>
    <cellStyle name="Vírgula 4" xfId="82" xr:uid="{00000000-0005-0000-0000-00006D000000}"/>
    <cellStyle name="Vírgula 5" xfId="83" xr:uid="{00000000-0005-0000-0000-00006E000000}"/>
    <cellStyle name="Vírgula 6" xfId="84" xr:uid="{00000000-0005-0000-0000-00006F000000}"/>
    <cellStyle name="Vírgula 7" xfId="85" xr:uid="{00000000-0005-0000-0000-000070000000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justify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34998626667073579"/>
        <name val="Calibri"/>
        <scheme val="none"/>
      </font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>
        <top style="thin">
          <color auto="1"/>
        </top>
      </border>
    </dxf>
    <dxf>
      <font>
        <strike val="0"/>
        <outline val="0"/>
        <shadow val="0"/>
        <u val="none"/>
        <vertAlign val="baseline"/>
        <sz val="12"/>
        <color theme="0" tint="-0.34998626667073579"/>
        <name val="Calibri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00000000-0011-0000-FFFF-FFFF00000000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9D9D9"/>
      <rgbColor rgb="FFFFC7CE"/>
      <rgbColor rgb="FFBFBFBF"/>
      <rgbColor rgb="FFE6B9B8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351182</xdr:colOff>
      <xdr:row>0</xdr:row>
      <xdr:rowOff>68586</xdr:rowOff>
    </xdr:from>
    <xdr:to>
      <xdr:col>8</xdr:col>
      <xdr:colOff>933450</xdr:colOff>
      <xdr:row>3</xdr:row>
      <xdr:rowOff>152400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403"/>
        <a:stretch/>
      </xdr:blipFill>
      <xdr:spPr bwMode="auto">
        <a:xfrm>
          <a:off x="8447432" y="68586"/>
          <a:ext cx="2449168" cy="73151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3524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71700" y="4210050"/>
          <a:ext cx="13335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955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171700" y="481012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36195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171700" y="4210050"/>
          <a:ext cx="13335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0025"/>
    <xdr:sp macro="" textlink="">
      <xdr:nvSpPr>
        <xdr:cNvPr id="9" name="Sha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71700" y="481012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9550"/>
    <xdr:sp macro="" textlink="">
      <xdr:nvSpPr>
        <xdr:cNvPr id="10" name="Shap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71700" y="501015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0025"/>
    <xdr:sp macro="" textlink="">
      <xdr:nvSpPr>
        <xdr:cNvPr id="11" name="Shape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71700" y="501015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28</xdr:row>
      <xdr:rowOff>0</xdr:rowOff>
    </xdr:from>
    <xdr:ext cx="133350" cy="209550"/>
    <xdr:sp macro="" textlink="">
      <xdr:nvSpPr>
        <xdr:cNvPr id="12" name="Shape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71700" y="521017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28</xdr:row>
      <xdr:rowOff>0</xdr:rowOff>
    </xdr:from>
    <xdr:ext cx="133350" cy="200025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1700" y="521017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29</xdr:row>
      <xdr:rowOff>0</xdr:rowOff>
    </xdr:from>
    <xdr:ext cx="133350" cy="209550"/>
    <xdr:sp macro="" textlink="">
      <xdr:nvSpPr>
        <xdr:cNvPr id="14" name="Shape 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71700" y="541020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29</xdr:row>
      <xdr:rowOff>0</xdr:rowOff>
    </xdr:from>
    <xdr:ext cx="133350" cy="200025"/>
    <xdr:sp macro="" textlink="">
      <xdr:nvSpPr>
        <xdr:cNvPr id="15" name="Shape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1700" y="541020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3" name="Shape 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5" name="Shape 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7" name="Shape 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9" name="Shape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1" name="Shape 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3" name="Shape 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5" name="Shape 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7" name="Shape 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9" name="Shape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1" name="Shape 4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3" name="Shape 4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5" name="Shape 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7" name="Shape 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9" name="Shape 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1" name="Shape 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3" name="Shape 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5" name="Shape 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7" name="Shape 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9" name="Shape 4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71" name="Shape 4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73" name="Shape 4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75" name="Shape 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>
    <xdr:from>
      <xdr:col>0</xdr:col>
      <xdr:colOff>65284</xdr:colOff>
      <xdr:row>0</xdr:row>
      <xdr:rowOff>61544</xdr:rowOff>
    </xdr:from>
    <xdr:to>
      <xdr:col>1</xdr:col>
      <xdr:colOff>1550053</xdr:colOff>
      <xdr:row>2</xdr:row>
      <xdr:rowOff>180974</xdr:rowOff>
    </xdr:to>
    <xdr:pic>
      <xdr:nvPicPr>
        <xdr:cNvPr id="76" name="Imagem 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240"/>
        <a:stretch/>
      </xdr:blipFill>
      <xdr:spPr bwMode="auto">
        <a:xfrm>
          <a:off x="65284" y="61544"/>
          <a:ext cx="1922919" cy="5671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9" name="Shape 4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0" name="Shape 3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1" name="Shape 4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2" name="Shape 3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3" name="Shape 4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4" name="Shape 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5" name="Shape 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4" name="Shape 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5" name="Shape 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6" name="Shape 3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7" name="Shape 4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8" name="Shape 3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9" name="Shape 4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1" name="Shape 4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" name="Shape 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" name="Shape 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5" name="Shape 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6" name="Shape 3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0" name="Shape 3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1" name="Shape 4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3" name="Shape 4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5" name="Shape 4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8" name="Shape 3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9" name="Shape 4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0" name="Shape 3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1" name="Shape 4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2" name="Shape 3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3" name="Shape 4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4" name="Shape 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5" name="Shape 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26" name="Shape 3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27" name="Shape 4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28" name="Shape 3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29" name="Shape 4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0" name="Shape 3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1" name="Shape 4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5" name="Shape 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6" name="Shape 3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7" name="Shape 4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8" name="Shape 3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39" name="Shape 4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0" name="Shape 3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1" name="Shape 4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2" name="Shape 3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3" name="Shape 4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4" name="Shape 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5" name="Shape 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6" name="Shape 3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7" name="Shape 4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8" name="Shape 3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49" name="Shape 4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0" name="Shape 3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1" name="Shape 4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2" name="Shape 3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3" name="Shape 4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4" name="Shape 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5" name="Shape 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6" name="Shape 3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7" name="Shape 4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8" name="Shape 3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59" name="Shape 4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0" name="Shape 3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1" name="Shape 4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2" name="Shape 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3" name="Shape 4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4" name="Shape 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5" name="Shape 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6" name="Shape 3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67" name="Shape 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74" name="Shape 3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75" name="Shape 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76" name="Shape 3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77" name="Shape 4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78" name="Shape 3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79" name="Shape 4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80" name="Shape 3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181" name="Shape 4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2" name="Shape 3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3" name="Shape 4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4" name="Shape 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5" name="Shape 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6" name="Shape 3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7" name="Shape 4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8" name="Shape 3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9" name="Shape 4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8" name="Shape 3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9" name="Shape 4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0" name="Shape 3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1" name="Shape 4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2" name="Shape 3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3" name="Shape 4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4" name="Shape 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6" name="Shape 3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7" name="Shape 4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8" name="Shape 3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9" name="Shape 4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0" name="Shape 3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1" name="Shape 4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2" name="Shape 3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3" name="Shape 4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4" name="Shape 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5" name="Shape 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6" name="Shape 3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7" name="Shape 4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8" name="Shape 3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9" name="Shape 4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0" name="Shape 3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1" name="Shape 4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2" name="Shape 3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3" name="Shape 4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4" name="Shape 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5" name="Shape 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6" name="Shape 3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7" name="Shape 4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8" name="Shape 3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9" name="Shape 4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0" name="Shape 3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1" name="Shape 4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2" name="Shape 3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3" name="Shape 4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4" name="Shape 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5" name="Shape 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6" name="Shape 3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7" name="Shape 4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8" name="Shape 3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39" name="Shape 4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0" name="Shape 3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1" name="Shape 4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2" name="Shape 3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3" name="Shape 4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4" name="Shape 3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5" name="Shape 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6" name="Shape 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7" name="Shape 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8" name="Shape 3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49" name="Shape 4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0" name="Shape 3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1" name="Shape 4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2" name="Shape 3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3" name="Shape 4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4" name="Shape 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5" name="Shape 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6" name="Shape 3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7" name="Shape 4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8" name="Shape 3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59" name="Shape 4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60" name="Shape 3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261" name="Shape 4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8" name="Shape 3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9" name="Shape 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0" name="Shape 3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1" name="Shape 4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2" name="Shape 3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3" name="Shape 4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4" name="Shape 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5" name="Shape 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6" name="Shape 3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7" name="Shape 4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8" name="Shape 3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9" name="Shape 4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0" name="Shape 3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1" name="Shape 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2" name="Shape 3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4" name="Shape 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5" name="Shape 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6" name="Shape 3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7" name="Shape 4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8" name="Shape 3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9" name="Shape 4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0" name="Shape 3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1" name="Shape 4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2" name="Shape 3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3" name="Shape 4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4" name="Shape 3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5" name="Shape 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6" name="Shape 3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7" name="Shape 4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8" name="Shape 3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9" name="Shape 4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0" name="Shape 3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1" name="Shape 4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2" name="Shape 3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3" name="Shape 4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4" name="Shape 3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5" name="Shape 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6" name="Shape 3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7" name="Shape 4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8" name="Shape 3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9" name="Shape 4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0" name="Shape 3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1" name="Shape 4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2" name="Shape 3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3" name="Shape 4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4" name="Shape 3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5" name="Shape 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6" name="Shape 3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7" name="Shape 4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8" name="Shape 3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9" name="Shape 4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0" name="Shape 3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1" name="Shape 4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2" name="Shape 3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3" name="Shape 4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4" name="Shape 3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5" name="Shape 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6" name="Shape 3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7" name="Shape 4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8" name="Shape 3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9" name="Shape 4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0" name="Shape 3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1" name="Shape 4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2" name="Shape 3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3" name="Shape 4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4" name="Shape 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5" name="Shape 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6" name="Shape 3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7" name="Shape 4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8" name="Shape 3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49" name="Shape 4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0" name="Shape 3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1" name="Shape 4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2" name="Shape 3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3" name="Shape 4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4" name="Shape 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5" name="Shape 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6" name="Shape 3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7" name="Shape 4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8" name="Shape 3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59" name="Shape 4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0" name="Shape 3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1" name="Shape 4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2" name="Shape 3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3" name="Shape 4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4" name="Shape 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5" name="Shape 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6" name="Shape 3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7" name="Shape 4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8" name="Shape 3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69" name="Shape 4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0" name="Shape 3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1" name="Shape 4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2" name="Shape 3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3" name="Shape 4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4" name="Shape 3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5" name="Shape 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6" name="Shape 3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7" name="Shape 4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8" name="Shape 3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79" name="Shape 4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0" name="Shape 3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1" name="Shape 4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2" name="Shape 3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3" name="Shape 4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4" name="Shape 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5" name="Shape 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6" name="Shape 3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7" name="Shape 4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8" name="Shape 3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89" name="Shape 4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0" name="Shape 3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1" name="Shape 4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2" name="Shape 3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3" name="Shape 4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4" name="Shape 3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5" name="Shape 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6" name="Shape 3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7" name="Shape 4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8" name="Shape 3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399" name="Shape 4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0" name="Shape 3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1" name="Shape 4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2" name="Shape 3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3" name="Shape 4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4" name="Shape 3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5" name="Shape 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6" name="Shape 3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7" name="Shape 4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8" name="Shape 3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09" name="Shape 4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0" name="Shape 3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1" name="Shape 4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2" name="Shape 3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3" name="Shape 4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4" name="Shape 3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5" name="Shape 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6" name="Shape 3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7" name="Shape 4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8" name="Shape 3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19" name="Shape 4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0" name="Shape 3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1" name="Shape 4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2" name="Shape 3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3" name="Shape 4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4" name="Shape 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5" name="Shape 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6" name="Shape 3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7" name="Shape 4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8" name="Shape 3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29" name="Shape 4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0" name="Shape 3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1" name="Shape 4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2" name="Shape 3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3" name="Shape 4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4" name="Shape 3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5" name="Shape 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6" name="Shape 3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437" name="Shape 4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4" name="Shape 3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5" name="Shape 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6" name="Shape 3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7" name="Shape 4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8" name="Shape 3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9" name="Shape 4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0" name="Shape 3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1" name="Shape 4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2" name="Shape 3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3" name="Shape 4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4" name="Shape 3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5" name="Shape 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6" name="Shape 3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7" name="Shape 4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8" name="Shape 3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9" name="Shape 4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0" name="Shape 3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1" name="Shape 4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2" name="Shape 3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3" name="Shape 4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4" name="Shape 3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5" name="Shape 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6" name="Shape 3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7" name="Shape 4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8" name="Shape 3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9" name="Shape 4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0" name="Shape 3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1" name="Shape 4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2" name="Shape 3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3" name="Shape 4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4" name="Shape 3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5" name="Shape 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6" name="Shape 3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7" name="Shape 4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8" name="Shape 3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9" name="Shape 4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0" name="Shape 3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1" name="Shape 4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2" name="Shape 3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3" name="Shape 4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4" name="Shape 3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5" name="Shape 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6" name="Shape 3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7" name="Shape 4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8" name="Shape 3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9" name="Shape 4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0" name="Shape 3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1" name="Shape 4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2" name="Shape 3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3" name="Shape 4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4" name="Shape 3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5" name="Shape 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6" name="Shape 3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7" name="Shape 4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8" name="Shape 3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9" name="Shape 4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0" name="Shape 3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1" name="Shape 4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2" name="Shape 3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3" name="Shape 4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4" name="Shape 3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5" name="Shape 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6" name="Shape 3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7" name="Shape 4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18" name="Shape 3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19" name="Shape 4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0" name="Shape 3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1" name="Shape 4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2" name="Shape 3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3" name="Shape 4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4" name="Shape 3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5" name="Shape 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6" name="Shape 3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7" name="Shape 4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8" name="Shape 3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29" name="Shape 4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0" name="Shape 3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1" name="Shape 4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2" name="Shape 3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3" name="Shape 4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4" name="Shape 3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5" name="Shape 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6" name="Shape 3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7" name="Shape 4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8" name="Shape 3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39" name="Shape 4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0" name="Shape 3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1" name="Shape 4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2" name="Shape 3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3" name="Shape 4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4" name="Shape 3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5" name="Shape 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6" name="Shape 3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7" name="Shape 4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8" name="Shape 3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49" name="Shape 4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0" name="Shape 3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1" name="Shape 4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2" name="Shape 3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3" name="Shape 4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4" name="Shape 3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5" name="Shape 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6" name="Shape 3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7" name="Shape 4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8" name="Shape 3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59" name="Shape 4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0" name="Shape 3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1" name="Shape 4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2" name="Shape 3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3" name="Shape 4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4" name="Shape 3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5" name="Shape 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6" name="Shape 3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7" name="Shape 4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8" name="Shape 3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69" name="Shape 4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0" name="Shape 3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1" name="Shape 4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2" name="Shape 3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3" name="Shape 4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4" name="Shape 3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5" name="Shape 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6" name="Shape 3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7" name="Shape 4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8" name="Shape 3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79" name="Shape 4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0" name="Shape 3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1" name="Shape 4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2" name="Shape 3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3" name="Shape 4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4" name="Shape 3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5" name="Shape 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6" name="Shape 3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7" name="Shape 4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8" name="Shape 3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89" name="Shape 4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0" name="Shape 3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1" name="Shape 4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2" name="Shape 3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3" name="Shape 4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4" name="Shape 3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5" name="Shape 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6" name="Shape 3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7" name="Shape 4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8" name="Shape 3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599" name="Shape 4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0" name="Shape 3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1" name="Shape 4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2" name="Shape 3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3" name="Shape 4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4" name="Shape 3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5" name="Shape 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6" name="Shape 3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7" name="Shape 4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8" name="Shape 3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09" name="Shape 4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10" name="Shape 3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11" name="Shape 4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12" name="Shape 3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13" name="Shape 4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0" name="Shape 3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1" name="Shape 4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2" name="Shape 3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3" name="Shape 4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4" name="Shape 3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5" name="Shape 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6" name="Shape 3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7" name="Shape 4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8" name="Shape 3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9" name="Shape 4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0" name="Shape 3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1" name="Shape 4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2" name="Shape 3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3" name="Shape 4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4" name="Shape 3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5" name="Shape 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6" name="Shape 3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7" name="Shape 4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8" name="Shape 3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9" name="Shape 4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0" name="Shape 3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1" name="Shape 4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2" name="Shape 3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3" name="Shape 4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4" name="Shape 3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5" name="Shape 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6" name="Shape 3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7" name="Shape 4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8" name="Shape 3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9" name="Shape 4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0" name="Shape 3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1" name="Shape 4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2" name="Shape 3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3" name="Shape 4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4" name="Shape 3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5" name="Shape 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6" name="Shape 3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7" name="Shape 4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8" name="Shape 3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9" name="Shape 4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0" name="Shape 3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1" name="Shape 4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2" name="Shape 3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3" name="Shape 4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4" name="Shape 3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5" name="Shape 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6" name="Shape 3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7" name="Shape 4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8" name="Shape 3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9" name="Shape 4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0" name="Shape 3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1" name="Shape 4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2" name="Shape 3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3" name="Shape 4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4" name="Shape 3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5" name="Shape 4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6" name="Shape 3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7" name="Shape 4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8" name="Shape 3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9" name="Shape 4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0" name="Shape 3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1" name="Shape 4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2" name="Shape 3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3" name="Shape 4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94" name="Shape 3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95" name="Shape 4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96" name="Shape 3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97" name="Shape 4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98" name="Shape 3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699" name="Shape 4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0" name="Shape 3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1" name="Shape 4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2" name="Shape 3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3" name="Shape 4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4" name="Shape 3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5" name="Shape 4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6" name="Shape 3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7" name="Shape 4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8" name="Shape 3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09" name="Shape 4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0" name="Shape 3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1" name="Shape 4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2" name="Shape 3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3" name="Shape 4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4" name="Shape 3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5" name="Shape 4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6" name="Shape 3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7" name="Shape 4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8" name="Shape 3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19" name="Shape 4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0" name="Shape 3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1" name="Shape 4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2" name="Shape 3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3" name="Shape 4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4" name="Shape 3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5" name="Shape 4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6" name="Shape 3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7" name="Shape 4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8" name="Shape 3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29" name="Shape 4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0" name="Shape 3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1" name="Shape 4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2" name="Shape 3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3" name="Shape 4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4" name="Shape 3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5" name="Shape 4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6" name="Shape 3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7" name="Shape 4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8" name="Shape 3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39" name="Shape 4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0" name="Shape 3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1" name="Shape 4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2" name="Shape 3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3" name="Shape 4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4" name="Shape 3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5" name="Shape 4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6" name="Shape 3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7" name="Shape 4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8" name="Shape 3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49" name="Shape 4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0" name="Shape 3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1" name="Shape 4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2" name="Shape 3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3" name="Shape 4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4" name="Shape 3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5" name="Shape 4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6" name="Shape 3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7" name="Shape 4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8" name="Shape 3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59" name="Shape 4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0" name="Shape 3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1" name="Shape 4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2" name="Shape 3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3" name="Shape 4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4" name="Shape 3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5" name="Shape 4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6" name="Shape 3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7" name="Shape 4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8" name="Shape 3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69" name="Shape 4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0" name="Shape 3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1" name="Shape 4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2" name="Shape 3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3" name="Shape 4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4" name="Shape 3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5" name="Shape 4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6" name="Shape 3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7" name="Shape 4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8" name="Shape 3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79" name="Shape 4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0" name="Shape 3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1" name="Shape 4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2" name="Shape 3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3" name="Shape 4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4" name="Shape 3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5" name="Shape 4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6" name="Shape 3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7" name="Shape 4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8" name="Shape 3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789" name="Shape 4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0" name="Shape 3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1" name="Shape 4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2" name="Shape 3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3" name="Shape 4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4" name="Shape 3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5" name="Shape 4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6" name="Shape 3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7" name="Shape 4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8" name="Shape 3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9" name="Shape 4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0" name="Shape 3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1" name="Shape 4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2" name="Shape 3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3" name="Shape 4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4" name="Shape 3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5" name="Shape 4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6" name="Shape 3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7" name="Shape 4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8" name="Shape 3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9" name="Shape 4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0" name="Shape 3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1" name="Shape 4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2" name="Shape 3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3" name="Shape 4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4" name="Shape 3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5" name="Shape 4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6" name="Shape 3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7" name="Shape 4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8" name="Shape 3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9" name="Shape 4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0" name="Shape 3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1" name="Shape 4">
          <a:extLst>
            <a:ext uri="{FF2B5EF4-FFF2-40B4-BE49-F238E27FC236}">
              <a16:creationId xmlns:a16="http://schemas.microsoft.com/office/drawing/2014/main" id="{00000000-0008-0000-0100-00003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2" name="Shape 3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3" name="Shape 4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4" name="Shape 3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5" name="Shape 4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6" name="Shape 3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7" name="Shape 4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8" name="Shape 3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9" name="Shape 4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0" name="Shape 3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1" name="Shape 4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2" name="Shape 3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3" name="Shape 4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4" name="Shape 3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5" name="Shape 4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6" name="Shape 3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7" name="Shape 4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8" name="Shape 3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9" name="Shape 4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0" name="Shape 3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1" name="Shape 4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2" name="Shape 3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3" name="Shape 4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4" name="Shape 3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5" name="Shape 4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6" name="Shape 3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7" name="Shape 4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8" name="Shape 3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9" name="Shape 4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0" name="Shape 3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1" name="Shape 4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2" name="Shape 3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3" name="Shape 4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4" name="Shape 3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5" name="Shape 4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6" name="Shape 3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7" name="Shape 4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8" name="Shape 3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9" name="Shape 4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0" name="Shape 3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1" name="Shape 4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2" name="Shape 3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3" name="Shape 4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4" name="Shape 3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5" name="Shape 4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6" name="Shape 3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7" name="Shape 4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8" name="Shape 3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0" name="Shape 3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1" name="Shape 4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2" name="Shape 3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3" name="Shape 4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4" name="Shape 3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5" name="Shape 4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6" name="Shape 3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7" name="Shape 4">
          <a:extLst>
            <a:ext uri="{FF2B5EF4-FFF2-40B4-BE49-F238E27FC236}">
              <a16:creationId xmlns:a16="http://schemas.microsoft.com/office/drawing/2014/main" id="{00000000-0008-0000-0100-00006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8" name="Shape 3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79" name="Shape 4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0" name="Shape 3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1" name="Shape 4">
          <a:extLst>
            <a:ext uri="{FF2B5EF4-FFF2-40B4-BE49-F238E27FC236}">
              <a16:creationId xmlns:a16="http://schemas.microsoft.com/office/drawing/2014/main" id="{00000000-0008-0000-0100-00007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2" name="Shape 3">
          <a:extLst>
            <a:ext uri="{FF2B5EF4-FFF2-40B4-BE49-F238E27FC236}">
              <a16:creationId xmlns:a16="http://schemas.microsoft.com/office/drawing/2014/main" id="{00000000-0008-0000-0100-00007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3" name="Shape 4">
          <a:extLst>
            <a:ext uri="{FF2B5EF4-FFF2-40B4-BE49-F238E27FC236}">
              <a16:creationId xmlns:a16="http://schemas.microsoft.com/office/drawing/2014/main" id="{00000000-0008-0000-0100-00007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4" name="Shape 3">
          <a:extLst>
            <a:ext uri="{FF2B5EF4-FFF2-40B4-BE49-F238E27FC236}">
              <a16:creationId xmlns:a16="http://schemas.microsoft.com/office/drawing/2014/main" id="{00000000-0008-0000-0100-00007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5" name="Shape 4">
          <a:extLst>
            <a:ext uri="{FF2B5EF4-FFF2-40B4-BE49-F238E27FC236}">
              <a16:creationId xmlns:a16="http://schemas.microsoft.com/office/drawing/2014/main" id="{00000000-0008-0000-0100-00007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6" name="Shape 3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7" name="Shape 4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8" name="Shape 3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89" name="Shape 4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0" name="Shape 3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1" name="Shape 4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2" name="Shape 3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3" name="Shape 4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4" name="Shape 3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5" name="Shape 4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6" name="Shape 3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7" name="Shape 4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8" name="Shape 3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899" name="Shape 4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0" name="Shape 3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1" name="Shape 4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2" name="Shape 3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3" name="Shape 4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4" name="Shape 3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5" name="Shape 4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6" name="Shape 3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7" name="Shape 4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8" name="Shape 3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09" name="Shape 4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0" name="Shape 3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1" name="Shape 4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2" name="Shape 3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3" name="Shape 4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4" name="Shape 3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5" name="Shape 4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6" name="Shape 3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7" name="Shape 4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8" name="Shape 3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19" name="Shape 4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0" name="Shape 3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1" name="Shape 4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2" name="Shape 3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3" name="Shape 4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4" name="Shape 3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5" name="Shape 4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6" name="Shape 3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7" name="Shape 4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8" name="Shape 3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29" name="Shape 4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0" name="Shape 3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1" name="Shape 4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2" name="Shape 3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3" name="Shape 4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4" name="Shape 3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5" name="Shape 4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6" name="Shape 3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7" name="Shape 4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8" name="Shape 3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39" name="Shape 4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0" name="Shape 3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1" name="Shape 4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2" name="Shape 3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3" name="Shape 4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4" name="Shape 3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5" name="Shape 4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6" name="Shape 3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7" name="Shape 4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8" name="Shape 3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49" name="Shape 4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0" name="Shape 3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1" name="Shape 4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2" name="Shape 3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3" name="Shape 4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4" name="Shape 3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5" name="Shape 4">
          <a:extLst>
            <a:ext uri="{FF2B5EF4-FFF2-40B4-BE49-F238E27FC236}">
              <a16:creationId xmlns:a16="http://schemas.microsoft.com/office/drawing/2014/main" id="{00000000-0008-0000-0100-0000B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6" name="Shape 3">
          <a:extLst>
            <a:ext uri="{FF2B5EF4-FFF2-40B4-BE49-F238E27FC236}">
              <a16:creationId xmlns:a16="http://schemas.microsoft.com/office/drawing/2014/main" id="{00000000-0008-0000-0100-0000B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7" name="Shape 4">
          <a:extLst>
            <a:ext uri="{FF2B5EF4-FFF2-40B4-BE49-F238E27FC236}">
              <a16:creationId xmlns:a16="http://schemas.microsoft.com/office/drawing/2014/main" id="{00000000-0008-0000-0100-0000B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8" name="Shape 3">
          <a:extLst>
            <a:ext uri="{FF2B5EF4-FFF2-40B4-BE49-F238E27FC236}">
              <a16:creationId xmlns:a16="http://schemas.microsoft.com/office/drawing/2014/main" id="{00000000-0008-0000-0100-0000B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59" name="Shape 4">
          <a:extLst>
            <a:ext uri="{FF2B5EF4-FFF2-40B4-BE49-F238E27FC236}">
              <a16:creationId xmlns:a16="http://schemas.microsoft.com/office/drawing/2014/main" id="{00000000-0008-0000-0100-0000B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60" name="Shape 3">
          <a:extLst>
            <a:ext uri="{FF2B5EF4-FFF2-40B4-BE49-F238E27FC236}">
              <a16:creationId xmlns:a16="http://schemas.microsoft.com/office/drawing/2014/main" id="{00000000-0008-0000-0100-0000C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61" name="Shape 4">
          <a:extLst>
            <a:ext uri="{FF2B5EF4-FFF2-40B4-BE49-F238E27FC236}">
              <a16:creationId xmlns:a16="http://schemas.microsoft.com/office/drawing/2014/main" id="{00000000-0008-0000-0100-0000C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62" name="Shape 3">
          <a:extLst>
            <a:ext uri="{FF2B5EF4-FFF2-40B4-BE49-F238E27FC236}">
              <a16:creationId xmlns:a16="http://schemas.microsoft.com/office/drawing/2014/main" id="{00000000-0008-0000-0100-0000C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63" name="Shape 4">
          <a:extLst>
            <a:ext uri="{FF2B5EF4-FFF2-40B4-BE49-F238E27FC236}">
              <a16:creationId xmlns:a16="http://schemas.microsoft.com/office/drawing/2014/main" id="{00000000-0008-0000-0100-0000C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0</xdr:colOff>
      <xdr:row>19</xdr:row>
      <xdr:rowOff>0</xdr:rowOff>
    </xdr:from>
    <xdr:ext cx="133350" cy="266700"/>
    <xdr:sp macro="" textlink="">
      <xdr:nvSpPr>
        <xdr:cNvPr id="964" name="Shape 3">
          <a:extLst>
            <a:ext uri="{FF2B5EF4-FFF2-40B4-BE49-F238E27FC236}">
              <a16:creationId xmlns:a16="http://schemas.microsoft.com/office/drawing/2014/main" id="{00000000-0008-0000-0100-0000C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65" name="Shape 3">
          <a:extLst>
            <a:ext uri="{FF2B5EF4-FFF2-40B4-BE49-F238E27FC236}">
              <a16:creationId xmlns:a16="http://schemas.microsoft.com/office/drawing/2014/main" id="{00000000-0008-0000-0100-0000C5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66" name="Shape 4">
          <a:extLst>
            <a:ext uri="{FF2B5EF4-FFF2-40B4-BE49-F238E27FC236}">
              <a16:creationId xmlns:a16="http://schemas.microsoft.com/office/drawing/2014/main" id="{00000000-0008-0000-0100-0000C6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67" name="Shape 3">
          <a:extLst>
            <a:ext uri="{FF2B5EF4-FFF2-40B4-BE49-F238E27FC236}">
              <a16:creationId xmlns:a16="http://schemas.microsoft.com/office/drawing/2014/main" id="{00000000-0008-0000-0100-0000C7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68" name="Shape 4">
          <a:extLst>
            <a:ext uri="{FF2B5EF4-FFF2-40B4-BE49-F238E27FC236}">
              <a16:creationId xmlns:a16="http://schemas.microsoft.com/office/drawing/2014/main" id="{00000000-0008-0000-0100-0000C8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69" name="Shape 3">
          <a:extLst>
            <a:ext uri="{FF2B5EF4-FFF2-40B4-BE49-F238E27FC236}">
              <a16:creationId xmlns:a16="http://schemas.microsoft.com/office/drawing/2014/main" id="{00000000-0008-0000-0100-0000C9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0" name="Shape 4">
          <a:extLst>
            <a:ext uri="{FF2B5EF4-FFF2-40B4-BE49-F238E27FC236}">
              <a16:creationId xmlns:a16="http://schemas.microsoft.com/office/drawing/2014/main" id="{00000000-0008-0000-0100-0000CA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1" name="Shape 3">
          <a:extLst>
            <a:ext uri="{FF2B5EF4-FFF2-40B4-BE49-F238E27FC236}">
              <a16:creationId xmlns:a16="http://schemas.microsoft.com/office/drawing/2014/main" id="{00000000-0008-0000-0100-0000CB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2" name="Shape 3">
          <a:extLst>
            <a:ext uri="{FF2B5EF4-FFF2-40B4-BE49-F238E27FC236}">
              <a16:creationId xmlns:a16="http://schemas.microsoft.com/office/drawing/2014/main" id="{00000000-0008-0000-0100-0000CC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3" name="Shape 4">
          <a:extLst>
            <a:ext uri="{FF2B5EF4-FFF2-40B4-BE49-F238E27FC236}">
              <a16:creationId xmlns:a16="http://schemas.microsoft.com/office/drawing/2014/main" id="{00000000-0008-0000-0100-0000CD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4" name="Shape 3">
          <a:extLst>
            <a:ext uri="{FF2B5EF4-FFF2-40B4-BE49-F238E27FC236}">
              <a16:creationId xmlns:a16="http://schemas.microsoft.com/office/drawing/2014/main" id="{00000000-0008-0000-0100-0000CE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5" name="Shape 4">
          <a:extLst>
            <a:ext uri="{FF2B5EF4-FFF2-40B4-BE49-F238E27FC236}">
              <a16:creationId xmlns:a16="http://schemas.microsoft.com/office/drawing/2014/main" id="{00000000-0008-0000-0100-0000CF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6" name="Shape 3">
          <a:extLst>
            <a:ext uri="{FF2B5EF4-FFF2-40B4-BE49-F238E27FC236}">
              <a16:creationId xmlns:a16="http://schemas.microsoft.com/office/drawing/2014/main" id="{00000000-0008-0000-0100-0000D0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7" name="Shape 4">
          <a:extLst>
            <a:ext uri="{FF2B5EF4-FFF2-40B4-BE49-F238E27FC236}">
              <a16:creationId xmlns:a16="http://schemas.microsoft.com/office/drawing/2014/main" id="{00000000-0008-0000-0100-0000D1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8" name="Shape 3">
          <a:extLst>
            <a:ext uri="{FF2B5EF4-FFF2-40B4-BE49-F238E27FC236}">
              <a16:creationId xmlns:a16="http://schemas.microsoft.com/office/drawing/2014/main" id="{00000000-0008-0000-0100-0000D2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79" name="Shape 4">
          <a:extLst>
            <a:ext uri="{FF2B5EF4-FFF2-40B4-BE49-F238E27FC236}">
              <a16:creationId xmlns:a16="http://schemas.microsoft.com/office/drawing/2014/main" id="{00000000-0008-0000-0100-0000D3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0" name="Shape 3">
          <a:extLst>
            <a:ext uri="{FF2B5EF4-FFF2-40B4-BE49-F238E27FC236}">
              <a16:creationId xmlns:a16="http://schemas.microsoft.com/office/drawing/2014/main" id="{00000000-0008-0000-0100-0000D4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1" name="Shape 4">
          <a:extLst>
            <a:ext uri="{FF2B5EF4-FFF2-40B4-BE49-F238E27FC236}">
              <a16:creationId xmlns:a16="http://schemas.microsoft.com/office/drawing/2014/main" id="{00000000-0008-0000-0100-0000D5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2" name="Shape 3">
          <a:extLst>
            <a:ext uri="{FF2B5EF4-FFF2-40B4-BE49-F238E27FC236}">
              <a16:creationId xmlns:a16="http://schemas.microsoft.com/office/drawing/2014/main" id="{00000000-0008-0000-0100-0000D6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3" name="Shape 4">
          <a:extLst>
            <a:ext uri="{FF2B5EF4-FFF2-40B4-BE49-F238E27FC236}">
              <a16:creationId xmlns:a16="http://schemas.microsoft.com/office/drawing/2014/main" id="{00000000-0008-0000-0100-0000D7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4" name="Shape 3">
          <a:extLst>
            <a:ext uri="{FF2B5EF4-FFF2-40B4-BE49-F238E27FC236}">
              <a16:creationId xmlns:a16="http://schemas.microsoft.com/office/drawing/2014/main" id="{00000000-0008-0000-0100-0000D8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5" name="Shape 4">
          <a:extLst>
            <a:ext uri="{FF2B5EF4-FFF2-40B4-BE49-F238E27FC236}">
              <a16:creationId xmlns:a16="http://schemas.microsoft.com/office/drawing/2014/main" id="{00000000-0008-0000-0100-0000D9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6" name="Shape 3">
          <a:extLst>
            <a:ext uri="{FF2B5EF4-FFF2-40B4-BE49-F238E27FC236}">
              <a16:creationId xmlns:a16="http://schemas.microsoft.com/office/drawing/2014/main" id="{00000000-0008-0000-0100-0000DA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7" name="Shape 4">
          <a:extLst>
            <a:ext uri="{FF2B5EF4-FFF2-40B4-BE49-F238E27FC236}">
              <a16:creationId xmlns:a16="http://schemas.microsoft.com/office/drawing/2014/main" id="{00000000-0008-0000-0100-0000DB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8" name="Shape 3">
          <a:extLst>
            <a:ext uri="{FF2B5EF4-FFF2-40B4-BE49-F238E27FC236}">
              <a16:creationId xmlns:a16="http://schemas.microsoft.com/office/drawing/2014/main" id="{00000000-0008-0000-0100-0000DC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89" name="Shape 4">
          <a:extLst>
            <a:ext uri="{FF2B5EF4-FFF2-40B4-BE49-F238E27FC236}">
              <a16:creationId xmlns:a16="http://schemas.microsoft.com/office/drawing/2014/main" id="{00000000-0008-0000-0100-0000DD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0" name="Shape 3">
          <a:extLst>
            <a:ext uri="{FF2B5EF4-FFF2-40B4-BE49-F238E27FC236}">
              <a16:creationId xmlns:a16="http://schemas.microsoft.com/office/drawing/2014/main" id="{00000000-0008-0000-0100-0000DE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1" name="Shape 4">
          <a:extLst>
            <a:ext uri="{FF2B5EF4-FFF2-40B4-BE49-F238E27FC236}">
              <a16:creationId xmlns:a16="http://schemas.microsoft.com/office/drawing/2014/main" id="{00000000-0008-0000-0100-0000DF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2" name="Shape 3">
          <a:extLst>
            <a:ext uri="{FF2B5EF4-FFF2-40B4-BE49-F238E27FC236}">
              <a16:creationId xmlns:a16="http://schemas.microsoft.com/office/drawing/2014/main" id="{00000000-0008-0000-0100-0000E0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3" name="Shape 4">
          <a:extLst>
            <a:ext uri="{FF2B5EF4-FFF2-40B4-BE49-F238E27FC236}">
              <a16:creationId xmlns:a16="http://schemas.microsoft.com/office/drawing/2014/main" id="{00000000-0008-0000-0100-0000E1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4" name="Shape 3">
          <a:extLst>
            <a:ext uri="{FF2B5EF4-FFF2-40B4-BE49-F238E27FC236}">
              <a16:creationId xmlns:a16="http://schemas.microsoft.com/office/drawing/2014/main" id="{00000000-0008-0000-0100-0000E2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5" name="Shape 4">
          <a:extLst>
            <a:ext uri="{FF2B5EF4-FFF2-40B4-BE49-F238E27FC236}">
              <a16:creationId xmlns:a16="http://schemas.microsoft.com/office/drawing/2014/main" id="{00000000-0008-0000-0100-0000E3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6" name="Shape 3">
          <a:extLst>
            <a:ext uri="{FF2B5EF4-FFF2-40B4-BE49-F238E27FC236}">
              <a16:creationId xmlns:a16="http://schemas.microsoft.com/office/drawing/2014/main" id="{00000000-0008-0000-0100-0000E4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7" name="Shape 4">
          <a:extLst>
            <a:ext uri="{FF2B5EF4-FFF2-40B4-BE49-F238E27FC236}">
              <a16:creationId xmlns:a16="http://schemas.microsoft.com/office/drawing/2014/main" id="{00000000-0008-0000-0100-0000E5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8" name="Shape 3">
          <a:extLst>
            <a:ext uri="{FF2B5EF4-FFF2-40B4-BE49-F238E27FC236}">
              <a16:creationId xmlns:a16="http://schemas.microsoft.com/office/drawing/2014/main" id="{00000000-0008-0000-0100-0000E6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999" name="Shape 4">
          <a:extLst>
            <a:ext uri="{FF2B5EF4-FFF2-40B4-BE49-F238E27FC236}">
              <a16:creationId xmlns:a16="http://schemas.microsoft.com/office/drawing/2014/main" id="{00000000-0008-0000-0100-0000E7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0" name="Shape 3">
          <a:extLst>
            <a:ext uri="{FF2B5EF4-FFF2-40B4-BE49-F238E27FC236}">
              <a16:creationId xmlns:a16="http://schemas.microsoft.com/office/drawing/2014/main" id="{00000000-0008-0000-0100-0000E8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1" name="Shape 4">
          <a:extLst>
            <a:ext uri="{FF2B5EF4-FFF2-40B4-BE49-F238E27FC236}">
              <a16:creationId xmlns:a16="http://schemas.microsoft.com/office/drawing/2014/main" id="{00000000-0008-0000-0100-0000E9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2" name="Shape 3">
          <a:extLst>
            <a:ext uri="{FF2B5EF4-FFF2-40B4-BE49-F238E27FC236}">
              <a16:creationId xmlns:a16="http://schemas.microsoft.com/office/drawing/2014/main" id="{00000000-0008-0000-0100-0000EA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3" name="Shape 4">
          <a:extLst>
            <a:ext uri="{FF2B5EF4-FFF2-40B4-BE49-F238E27FC236}">
              <a16:creationId xmlns:a16="http://schemas.microsoft.com/office/drawing/2014/main" id="{00000000-0008-0000-0100-0000EB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4" name="Shape 3">
          <a:extLst>
            <a:ext uri="{FF2B5EF4-FFF2-40B4-BE49-F238E27FC236}">
              <a16:creationId xmlns:a16="http://schemas.microsoft.com/office/drawing/2014/main" id="{00000000-0008-0000-0100-0000EC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5" name="Shape 4">
          <a:extLst>
            <a:ext uri="{FF2B5EF4-FFF2-40B4-BE49-F238E27FC236}">
              <a16:creationId xmlns:a16="http://schemas.microsoft.com/office/drawing/2014/main" id="{00000000-0008-0000-0100-0000ED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6" name="Shape 3">
          <a:extLst>
            <a:ext uri="{FF2B5EF4-FFF2-40B4-BE49-F238E27FC236}">
              <a16:creationId xmlns:a16="http://schemas.microsoft.com/office/drawing/2014/main" id="{00000000-0008-0000-0100-0000EE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7" name="Shape 4">
          <a:extLst>
            <a:ext uri="{FF2B5EF4-FFF2-40B4-BE49-F238E27FC236}">
              <a16:creationId xmlns:a16="http://schemas.microsoft.com/office/drawing/2014/main" id="{00000000-0008-0000-0100-0000EF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8" name="Shape 3">
          <a:extLst>
            <a:ext uri="{FF2B5EF4-FFF2-40B4-BE49-F238E27FC236}">
              <a16:creationId xmlns:a16="http://schemas.microsoft.com/office/drawing/2014/main" id="{00000000-0008-0000-0100-0000F0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09" name="Shape 4">
          <a:extLst>
            <a:ext uri="{FF2B5EF4-FFF2-40B4-BE49-F238E27FC236}">
              <a16:creationId xmlns:a16="http://schemas.microsoft.com/office/drawing/2014/main" id="{00000000-0008-0000-0100-0000F1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0" name="Shape 3">
          <a:extLst>
            <a:ext uri="{FF2B5EF4-FFF2-40B4-BE49-F238E27FC236}">
              <a16:creationId xmlns:a16="http://schemas.microsoft.com/office/drawing/2014/main" id="{00000000-0008-0000-0100-0000F2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1" name="Shape 4">
          <a:extLst>
            <a:ext uri="{FF2B5EF4-FFF2-40B4-BE49-F238E27FC236}">
              <a16:creationId xmlns:a16="http://schemas.microsoft.com/office/drawing/2014/main" id="{00000000-0008-0000-0100-0000F3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2" name="Shape 3">
          <a:extLst>
            <a:ext uri="{FF2B5EF4-FFF2-40B4-BE49-F238E27FC236}">
              <a16:creationId xmlns:a16="http://schemas.microsoft.com/office/drawing/2014/main" id="{00000000-0008-0000-0100-0000F4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3" name="Shape 4">
          <a:extLst>
            <a:ext uri="{FF2B5EF4-FFF2-40B4-BE49-F238E27FC236}">
              <a16:creationId xmlns:a16="http://schemas.microsoft.com/office/drawing/2014/main" id="{00000000-0008-0000-0100-0000F5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4" name="Shape 3">
          <a:extLst>
            <a:ext uri="{FF2B5EF4-FFF2-40B4-BE49-F238E27FC236}">
              <a16:creationId xmlns:a16="http://schemas.microsoft.com/office/drawing/2014/main" id="{00000000-0008-0000-0100-0000F6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5" name="Shape 4">
          <a:extLst>
            <a:ext uri="{FF2B5EF4-FFF2-40B4-BE49-F238E27FC236}">
              <a16:creationId xmlns:a16="http://schemas.microsoft.com/office/drawing/2014/main" id="{00000000-0008-0000-0100-0000F7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6" name="Shape 3">
          <a:extLst>
            <a:ext uri="{FF2B5EF4-FFF2-40B4-BE49-F238E27FC236}">
              <a16:creationId xmlns:a16="http://schemas.microsoft.com/office/drawing/2014/main" id="{00000000-0008-0000-0100-0000F8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7" name="Shape 4">
          <a:extLst>
            <a:ext uri="{FF2B5EF4-FFF2-40B4-BE49-F238E27FC236}">
              <a16:creationId xmlns:a16="http://schemas.microsoft.com/office/drawing/2014/main" id="{00000000-0008-0000-0100-0000F9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8" name="Shape 3">
          <a:extLst>
            <a:ext uri="{FF2B5EF4-FFF2-40B4-BE49-F238E27FC236}">
              <a16:creationId xmlns:a16="http://schemas.microsoft.com/office/drawing/2014/main" id="{00000000-0008-0000-0100-0000FA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19" name="Shape 4">
          <a:extLst>
            <a:ext uri="{FF2B5EF4-FFF2-40B4-BE49-F238E27FC236}">
              <a16:creationId xmlns:a16="http://schemas.microsoft.com/office/drawing/2014/main" id="{00000000-0008-0000-0100-0000FB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0" name="Shape 3">
          <a:extLst>
            <a:ext uri="{FF2B5EF4-FFF2-40B4-BE49-F238E27FC236}">
              <a16:creationId xmlns:a16="http://schemas.microsoft.com/office/drawing/2014/main" id="{00000000-0008-0000-0100-0000FC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1" name="Shape 4">
          <a:extLst>
            <a:ext uri="{FF2B5EF4-FFF2-40B4-BE49-F238E27FC236}">
              <a16:creationId xmlns:a16="http://schemas.microsoft.com/office/drawing/2014/main" id="{00000000-0008-0000-0100-0000FD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2" name="Shape 3">
          <a:extLst>
            <a:ext uri="{FF2B5EF4-FFF2-40B4-BE49-F238E27FC236}">
              <a16:creationId xmlns:a16="http://schemas.microsoft.com/office/drawing/2014/main" id="{00000000-0008-0000-0100-0000FE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3" name="Shape 4">
          <a:extLst>
            <a:ext uri="{FF2B5EF4-FFF2-40B4-BE49-F238E27FC236}">
              <a16:creationId xmlns:a16="http://schemas.microsoft.com/office/drawing/2014/main" id="{00000000-0008-0000-0100-0000FF03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4" name="Shape 3">
          <a:extLst>
            <a:ext uri="{FF2B5EF4-FFF2-40B4-BE49-F238E27FC236}">
              <a16:creationId xmlns:a16="http://schemas.microsoft.com/office/drawing/2014/main" id="{00000000-0008-0000-0100-000000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5" name="Shape 4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6" name="Shape 3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7" name="Shape 4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8" name="Shape 3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9" name="Shape 4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0" name="Shape 3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1" name="Shape 4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2" name="Shape 3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3" name="Shape 4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4" name="Shape 3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5" name="Shape 4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6" name="Shape 3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7" name="Shape 4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8" name="Shape 3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9" name="Shape 4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0" name="Shape 3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1" name="Shape 4">
          <a:extLst>
            <a:ext uri="{FF2B5EF4-FFF2-40B4-BE49-F238E27FC236}">
              <a16:creationId xmlns:a16="http://schemas.microsoft.com/office/drawing/2014/main" id="{00000000-0008-0000-0100-000011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2" name="Shape 3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3" name="Shape 4">
          <a:extLst>
            <a:ext uri="{FF2B5EF4-FFF2-40B4-BE49-F238E27FC236}">
              <a16:creationId xmlns:a16="http://schemas.microsoft.com/office/drawing/2014/main" id="{00000000-0008-0000-0100-000013040000}"/>
            </a:ext>
          </a:extLst>
        </xdr:cNvPr>
        <xdr:cNvSpPr txBox="1"/>
      </xdr:nvSpPr>
      <xdr:spPr>
        <a:xfrm>
          <a:off x="669607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0</xdr:col>
      <xdr:colOff>47625</xdr:colOff>
      <xdr:row>0</xdr:row>
      <xdr:rowOff>36645</xdr:rowOff>
    </xdr:from>
    <xdr:to>
      <xdr:col>7</xdr:col>
      <xdr:colOff>71438</xdr:colOff>
      <xdr:row>2</xdr:row>
      <xdr:rowOff>136922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223"/>
        <a:stretch/>
      </xdr:blipFill>
      <xdr:spPr bwMode="auto">
        <a:xfrm>
          <a:off x="47625" y="36645"/>
          <a:ext cx="1791891" cy="55866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0</xdr:col>
      <xdr:colOff>51289</xdr:colOff>
      <xdr:row>0</xdr:row>
      <xdr:rowOff>47177</xdr:rowOff>
    </xdr:from>
    <xdr:to>
      <xdr:col>7</xdr:col>
      <xdr:colOff>80597</xdr:colOff>
      <xdr:row>2</xdr:row>
      <xdr:rowOff>87923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076"/>
        <a:stretch/>
      </xdr:blipFill>
      <xdr:spPr bwMode="auto">
        <a:xfrm>
          <a:off x="51289" y="47177"/>
          <a:ext cx="1773116" cy="49501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0</xdr:row>
      <xdr:rowOff>52019</xdr:rowOff>
    </xdr:from>
    <xdr:to>
      <xdr:col>5</xdr:col>
      <xdr:colOff>619126</xdr:colOff>
      <xdr:row>2</xdr:row>
      <xdr:rowOff>161924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52019"/>
          <a:ext cx="2162176" cy="5671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57151</xdr:colOff>
      <xdr:row>0</xdr:row>
      <xdr:rowOff>28576</xdr:rowOff>
    </xdr:from>
    <xdr:to>
      <xdr:col>1</xdr:col>
      <xdr:colOff>990600</xdr:colOff>
      <xdr:row>3</xdr:row>
      <xdr:rowOff>180975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28576"/>
          <a:ext cx="1419224" cy="8000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I59" totalsRowCount="1" headerRowDxfId="58" dataDxfId="56" totalsRowDxfId="54" headerRowBorderDxfId="57" tableBorderDxfId="55" totalsRowBorderDxfId="53">
  <tableColumns count="9">
    <tableColumn id="1" xr3:uid="{00000000-0010-0000-0000-000001000000}" name="ITEM" totalsRowDxfId="52"/>
    <tableColumn id="2" xr3:uid="{00000000-0010-0000-0000-000002000000}" name="CÓDIGO" totalsRowDxfId="51"/>
    <tableColumn id="3" xr3:uid="{00000000-0010-0000-0000-000003000000}" name="REF. ONERADA_x000a_SINAPI 02/2024_x000a_SINAPI 11/2023*" totalsRowDxfId="50"/>
    <tableColumn id="4" xr3:uid="{00000000-0010-0000-0000-000004000000}" name="DESCRIÇÃO" totalsRowDxfId="49"/>
    <tableColumn id="5" xr3:uid="{00000000-0010-0000-0000-000005000000}" name="UNID." totalsRowDxfId="48"/>
    <tableColumn id="6" xr3:uid="{00000000-0010-0000-0000-000006000000}" name="QTD" totalsRowDxfId="47"/>
    <tableColumn id="7" xr3:uid="{00000000-0010-0000-0000-000007000000}" name="R$ UNIT._x000a_SEM BDI" totalsRowDxfId="46"/>
    <tableColumn id="9" xr3:uid="{00000000-0010-0000-0000-000009000000}" name="R$ UNIT. COM BDI" totalsRowLabel="TOTAL" totalsRowDxfId="45"/>
    <tableColumn id="10" xr3:uid="{00000000-0010-0000-0000-00000A000000}" name="R$ TOTAL_x000a_COM BDI" totalsRowFunction="custom" totalsRowDxfId="44">
      <totalsRowFormula>(I9+I15+I18+I24+I32+I44+I46+I57)</totalsRow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59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G10" sqref="G10"/>
    </sheetView>
  </sheetViews>
  <sheetFormatPr defaultRowHeight="15" x14ac:dyDescent="0.25"/>
  <cols>
    <col min="1" max="1" width="7.85546875" style="9" bestFit="1" customWidth="1"/>
    <col min="2" max="2" width="13.28515625" style="9" bestFit="1" customWidth="1"/>
    <col min="3" max="3" width="14.7109375" style="9" customWidth="1"/>
    <col min="4" max="4" width="63.7109375" style="10" customWidth="1"/>
    <col min="5" max="5" width="11.140625" style="9" bestFit="1" customWidth="1"/>
    <col min="6" max="6" width="10.7109375" style="11" bestFit="1" customWidth="1"/>
    <col min="7" max="7" width="13.85546875" style="66" bestFit="1" customWidth="1"/>
    <col min="8" max="8" width="14.140625" style="11" bestFit="1" customWidth="1"/>
    <col min="9" max="9" width="14.85546875" style="11" bestFit="1" customWidth="1"/>
  </cols>
  <sheetData>
    <row r="1" spans="1:9" ht="20.25" x14ac:dyDescent="0.25">
      <c r="A1" s="178" t="s">
        <v>127</v>
      </c>
      <c r="B1" s="179"/>
      <c r="C1" s="179"/>
      <c r="D1" s="179"/>
      <c r="E1" s="179"/>
      <c r="F1" s="179"/>
      <c r="G1" s="179"/>
      <c r="H1" s="179"/>
      <c r="I1" s="180"/>
    </row>
    <row r="2" spans="1:9" ht="15.75" x14ac:dyDescent="0.25">
      <c r="A2" s="181" t="s">
        <v>128</v>
      </c>
      <c r="B2" s="182"/>
      <c r="C2" s="182"/>
      <c r="D2" s="182"/>
      <c r="E2" s="182"/>
      <c r="F2" s="182"/>
      <c r="G2" s="182"/>
      <c r="H2" s="182"/>
      <c r="I2" s="183"/>
    </row>
    <row r="3" spans="1:9" x14ac:dyDescent="0.25">
      <c r="A3" s="184" t="s">
        <v>129</v>
      </c>
      <c r="B3" s="185"/>
      <c r="C3" s="185"/>
      <c r="D3" s="185"/>
      <c r="E3" s="185"/>
      <c r="F3" s="185"/>
      <c r="G3" s="185"/>
      <c r="H3" s="185"/>
      <c r="I3" s="186"/>
    </row>
    <row r="4" spans="1:9" x14ac:dyDescent="0.25">
      <c r="A4" s="187" t="s">
        <v>207</v>
      </c>
      <c r="B4" s="188"/>
      <c r="C4" s="188"/>
      <c r="D4" s="188"/>
      <c r="E4" s="188"/>
      <c r="F4" s="188"/>
      <c r="G4" s="188"/>
      <c r="H4" s="188"/>
      <c r="I4" s="189"/>
    </row>
    <row r="5" spans="1:9" x14ac:dyDescent="0.25">
      <c r="A5" s="190" t="s">
        <v>130</v>
      </c>
      <c r="B5" s="192" t="s">
        <v>194</v>
      </c>
      <c r="C5" s="192"/>
      <c r="D5" s="192"/>
      <c r="E5" s="190" t="s">
        <v>131</v>
      </c>
      <c r="F5" s="190" t="s">
        <v>195</v>
      </c>
      <c r="G5" s="191" t="s">
        <v>196</v>
      </c>
      <c r="H5" s="191"/>
      <c r="I5" s="125">
        <f>'CP BDI OBRA'!AI9</f>
        <v>0.23997034600964118</v>
      </c>
    </row>
    <row r="6" spans="1:9" x14ac:dyDescent="0.25">
      <c r="A6" s="190"/>
      <c r="B6" s="192"/>
      <c r="C6" s="192"/>
      <c r="D6" s="192"/>
      <c r="E6" s="190"/>
      <c r="F6" s="190"/>
      <c r="G6" s="191" t="s">
        <v>197</v>
      </c>
      <c r="H6" s="191"/>
      <c r="I6" s="125">
        <f>'CP BDI DIFERENCIADO'!AI9</f>
        <v>0.15999110198131761</v>
      </c>
    </row>
    <row r="7" spans="1:9" ht="36" x14ac:dyDescent="0.25">
      <c r="A7" s="62" t="s">
        <v>0</v>
      </c>
      <c r="B7" s="62" t="s">
        <v>4</v>
      </c>
      <c r="C7" s="80" t="s">
        <v>206</v>
      </c>
      <c r="D7" s="62" t="s">
        <v>29</v>
      </c>
      <c r="E7" s="62" t="s">
        <v>134</v>
      </c>
      <c r="F7" s="63" t="s">
        <v>133</v>
      </c>
      <c r="G7" s="64" t="s">
        <v>163</v>
      </c>
      <c r="H7" s="64" t="s">
        <v>164</v>
      </c>
      <c r="I7" s="64" t="s">
        <v>162</v>
      </c>
    </row>
    <row r="8" spans="1:9" s="94" customFormat="1" ht="15.75" x14ac:dyDescent="0.25">
      <c r="A8" s="111" t="s">
        <v>187</v>
      </c>
      <c r="B8" s="111"/>
      <c r="C8" s="111"/>
      <c r="D8" s="110"/>
      <c r="E8" s="108"/>
      <c r="F8" s="110"/>
      <c r="G8" s="110"/>
      <c r="H8" s="109"/>
      <c r="I8" s="107">
        <f>(I9+I15+I18+I24+I32+I44+I46+I57)</f>
        <v>0</v>
      </c>
    </row>
    <row r="9" spans="1:9" ht="15.75" x14ac:dyDescent="0.25">
      <c r="A9" s="113">
        <v>1</v>
      </c>
      <c r="B9" s="113"/>
      <c r="C9" s="113"/>
      <c r="D9" s="114" t="s">
        <v>30</v>
      </c>
      <c r="E9" s="113"/>
      <c r="F9" s="67"/>
      <c r="G9" s="67"/>
      <c r="H9" s="67"/>
      <c r="I9" s="67">
        <f>SUBTOTAL(109,I10:I14)</f>
        <v>0</v>
      </c>
    </row>
    <row r="10" spans="1:9" ht="31.5" x14ac:dyDescent="0.25">
      <c r="A10" s="65" t="s">
        <v>5</v>
      </c>
      <c r="B10" s="65">
        <v>103689</v>
      </c>
      <c r="C10" s="65" t="s">
        <v>6</v>
      </c>
      <c r="D10" s="106" t="s">
        <v>148</v>
      </c>
      <c r="E10" s="65" t="s">
        <v>122</v>
      </c>
      <c r="F10" s="83">
        <v>2.88</v>
      </c>
      <c r="G10" s="176"/>
      <c r="H10" s="60">
        <f>ROUNDDOWN(Tabela1[[#This Row],[R$ UNIT.
SEM BDI]]*(1+I$5),2)</f>
        <v>0</v>
      </c>
      <c r="I10" s="60">
        <f>ROUND(Tabela1[[#This Row],[R$ UNIT. COM BDI]]*Tabela1[[#This Row],[QTD]],2)</f>
        <v>0</v>
      </c>
    </row>
    <row r="11" spans="1:9" ht="15.75" x14ac:dyDescent="0.25">
      <c r="A11" s="65" t="s">
        <v>31</v>
      </c>
      <c r="B11" s="65" t="s">
        <v>80</v>
      </c>
      <c r="C11" s="65" t="s">
        <v>6</v>
      </c>
      <c r="D11" s="106" t="s">
        <v>160</v>
      </c>
      <c r="E11" s="65" t="s">
        <v>122</v>
      </c>
      <c r="F11" s="83">
        <v>100</v>
      </c>
      <c r="G11" s="176"/>
      <c r="H11" s="60">
        <f>ROUND(Tabela1[[#This Row],[R$ UNIT.
SEM BDI]]*(1+I$5),2)</f>
        <v>0</v>
      </c>
      <c r="I11" s="60">
        <f>ROUND(Tabela1[[#This Row],[R$ UNIT. COM BDI]]*Tabela1[[#This Row],[QTD]],2)</f>
        <v>0</v>
      </c>
    </row>
    <row r="12" spans="1:9" ht="31.5" x14ac:dyDescent="0.25">
      <c r="A12" s="65" t="s">
        <v>32</v>
      </c>
      <c r="B12" s="71" t="s">
        <v>149</v>
      </c>
      <c r="C12" s="71" t="s">
        <v>14</v>
      </c>
      <c r="D12" s="105" t="s">
        <v>204</v>
      </c>
      <c r="E12" s="71" t="s">
        <v>134</v>
      </c>
      <c r="F12" s="83">
        <v>2</v>
      </c>
      <c r="G12" s="176"/>
      <c r="H12" s="60">
        <f>ROUND(Tabela1[[#This Row],[R$ UNIT.
SEM BDI]]*(1+I$5),2)</f>
        <v>0</v>
      </c>
      <c r="I12" s="60">
        <f>ROUND(Tabela1[[#This Row],[R$ UNIT. COM BDI]]*Tabela1[[#This Row],[QTD]],2)</f>
        <v>0</v>
      </c>
    </row>
    <row r="13" spans="1:9" ht="31.5" x14ac:dyDescent="0.25">
      <c r="A13" s="65" t="s">
        <v>33</v>
      </c>
      <c r="B13" s="71" t="s">
        <v>150</v>
      </c>
      <c r="C13" s="71" t="s">
        <v>14</v>
      </c>
      <c r="D13" s="105" t="s">
        <v>81</v>
      </c>
      <c r="E13" s="71" t="s">
        <v>134</v>
      </c>
      <c r="F13" s="83">
        <v>1</v>
      </c>
      <c r="G13" s="176"/>
      <c r="H13" s="60">
        <f>ROUND(Tabela1[[#This Row],[R$ UNIT.
SEM BDI]]*(1+I$5),2)</f>
        <v>0</v>
      </c>
      <c r="I13" s="60">
        <f>ROUND(Tabela1[[#This Row],[R$ UNIT. COM BDI]]*Tabela1[[#This Row],[QTD]],2)</f>
        <v>0</v>
      </c>
    </row>
    <row r="14" spans="1:9" ht="31.5" x14ac:dyDescent="0.25">
      <c r="A14" s="65" t="s">
        <v>154</v>
      </c>
      <c r="B14" s="71" t="s">
        <v>151</v>
      </c>
      <c r="C14" s="71" t="s">
        <v>14</v>
      </c>
      <c r="D14" s="105" t="s">
        <v>155</v>
      </c>
      <c r="E14" s="71" t="s">
        <v>134</v>
      </c>
      <c r="F14" s="83">
        <v>1</v>
      </c>
      <c r="G14" s="176"/>
      <c r="H14" s="60">
        <f>ROUND(Tabela1[[#This Row],[R$ UNIT.
SEM BDI]]*(1+I$5),2)</f>
        <v>0</v>
      </c>
      <c r="I14" s="60">
        <f>ROUND(Tabela1[[#This Row],[R$ UNIT. COM BDI]]*Tabela1[[#This Row],[QTD]],2)</f>
        <v>0</v>
      </c>
    </row>
    <row r="15" spans="1:9" ht="15.75" x14ac:dyDescent="0.25">
      <c r="A15" s="113" t="s">
        <v>106</v>
      </c>
      <c r="B15" s="113"/>
      <c r="C15" s="113"/>
      <c r="D15" s="114" t="s">
        <v>107</v>
      </c>
      <c r="E15" s="113"/>
      <c r="F15" s="67"/>
      <c r="G15" s="67"/>
      <c r="H15" s="67"/>
      <c r="I15" s="67">
        <f>SUBTOTAL(109,I16:I17)</f>
        <v>0</v>
      </c>
    </row>
    <row r="16" spans="1:9" ht="47.25" x14ac:dyDescent="0.25">
      <c r="A16" s="65" t="s">
        <v>35</v>
      </c>
      <c r="B16" s="8">
        <v>10779</v>
      </c>
      <c r="C16" s="65" t="s">
        <v>6</v>
      </c>
      <c r="D16" s="106" t="s">
        <v>190</v>
      </c>
      <c r="E16" s="65" t="s">
        <v>126</v>
      </c>
      <c r="F16" s="83">
        <v>4</v>
      </c>
      <c r="G16" s="176"/>
      <c r="H16" s="60">
        <f>ROUND(Tabela1[[#This Row],[R$ UNIT.
SEM BDI]]*(1+I$6),2)</f>
        <v>0</v>
      </c>
      <c r="I16" s="60">
        <f>ROUND(Tabela1[[#This Row],[R$ UNIT. COM BDI]]*Tabela1[[#This Row],[QTD]],2)</f>
        <v>0</v>
      </c>
    </row>
    <row r="17" spans="1:9" ht="47.25" x14ac:dyDescent="0.25">
      <c r="A17" s="65" t="s">
        <v>76</v>
      </c>
      <c r="B17" s="8">
        <v>10775</v>
      </c>
      <c r="C17" s="65" t="s">
        <v>6</v>
      </c>
      <c r="D17" s="106" t="s">
        <v>191</v>
      </c>
      <c r="E17" s="65" t="s">
        <v>126</v>
      </c>
      <c r="F17" s="83">
        <v>4</v>
      </c>
      <c r="G17" s="176"/>
      <c r="H17" s="60">
        <f>ROUND(Tabela1[[#This Row],[R$ UNIT.
SEM BDI]]*(1+I$6),2)</f>
        <v>0</v>
      </c>
      <c r="I17" s="60">
        <f>ROUND(Tabela1[[#This Row],[R$ UNIT. COM BDI]]*Tabela1[[#This Row],[QTD]],2)</f>
        <v>0</v>
      </c>
    </row>
    <row r="18" spans="1:9" ht="31.5" x14ac:dyDescent="0.25">
      <c r="A18" s="113" t="s">
        <v>17</v>
      </c>
      <c r="B18" s="113"/>
      <c r="C18" s="113"/>
      <c r="D18" s="114" t="s">
        <v>203</v>
      </c>
      <c r="E18" s="166"/>
      <c r="F18" s="166"/>
      <c r="G18" s="166"/>
      <c r="H18" s="166"/>
      <c r="I18" s="67">
        <f>SUBTOTAL(109,I19:I23)</f>
        <v>0</v>
      </c>
    </row>
    <row r="19" spans="1:9" s="61" customFormat="1" ht="31.5" x14ac:dyDescent="0.25">
      <c r="A19" s="65" t="s">
        <v>37</v>
      </c>
      <c r="B19" s="8">
        <v>90777</v>
      </c>
      <c r="C19" s="65" t="s">
        <v>6</v>
      </c>
      <c r="D19" s="106" t="s">
        <v>198</v>
      </c>
      <c r="E19" s="65" t="s">
        <v>13</v>
      </c>
      <c r="F19" s="83">
        <v>88</v>
      </c>
      <c r="G19" s="176"/>
      <c r="H19" s="60">
        <f>ROUND(Tabela1[[#This Row],[R$ UNIT.
SEM BDI]]*(1+I$5),2)</f>
        <v>0</v>
      </c>
      <c r="I19" s="60">
        <f>ROUND(Tabela1[[#This Row],[R$ UNIT. COM BDI]]*Tabela1[[#This Row],[QTD]],2)</f>
        <v>0</v>
      </c>
    </row>
    <row r="20" spans="1:9" s="61" customFormat="1" ht="15.75" x14ac:dyDescent="0.25">
      <c r="A20" s="65" t="s">
        <v>39</v>
      </c>
      <c r="B20" s="8">
        <v>93572</v>
      </c>
      <c r="C20" s="65" t="s">
        <v>6</v>
      </c>
      <c r="D20" s="106" t="s">
        <v>108</v>
      </c>
      <c r="E20" s="65" t="s">
        <v>34</v>
      </c>
      <c r="F20" s="83">
        <v>4</v>
      </c>
      <c r="G20" s="176"/>
      <c r="H20" s="60">
        <f>ROUNDDOWN(Tabela1[[#This Row],[R$ UNIT.
SEM BDI]]*(1+I$5),2)</f>
        <v>0</v>
      </c>
      <c r="I20" s="60">
        <f>ROUND(Tabela1[[#This Row],[R$ UNIT. COM BDI]]*Tabela1[[#This Row],[QTD]],2)</f>
        <v>0</v>
      </c>
    </row>
    <row r="21" spans="1:9" s="61" customFormat="1" ht="47.25" x14ac:dyDescent="0.25">
      <c r="A21" s="65" t="s">
        <v>79</v>
      </c>
      <c r="B21" s="8">
        <v>100289</v>
      </c>
      <c r="C21" s="65" t="s">
        <v>6</v>
      </c>
      <c r="D21" s="106" t="s">
        <v>157</v>
      </c>
      <c r="E21" s="65" t="s">
        <v>13</v>
      </c>
      <c r="F21" s="83">
        <v>1104</v>
      </c>
      <c r="G21" s="176"/>
      <c r="H21" s="60">
        <f>ROUND(Tabela1[[#This Row],[R$ UNIT.
SEM BDI]]*(1+I$5),2)</f>
        <v>0</v>
      </c>
      <c r="I21" s="60">
        <f>ROUND(Tabela1[[#This Row],[R$ UNIT. COM BDI]]*Tabela1[[#This Row],[QTD]],2)</f>
        <v>0</v>
      </c>
    </row>
    <row r="22" spans="1:9" s="61" customFormat="1" ht="34.5" x14ac:dyDescent="0.25">
      <c r="A22" s="65" t="s">
        <v>143</v>
      </c>
      <c r="B22" s="8">
        <v>88326</v>
      </c>
      <c r="C22" s="150" t="s">
        <v>199</v>
      </c>
      <c r="D22" s="105" t="s">
        <v>156</v>
      </c>
      <c r="E22" s="71" t="s">
        <v>13</v>
      </c>
      <c r="F22" s="83">
        <v>784</v>
      </c>
      <c r="G22" s="176"/>
      <c r="H22" s="60">
        <f>ROUNDDOWN(Tabela1[[#This Row],[R$ UNIT.
SEM BDI]]*(1+I$5),2)</f>
        <v>0</v>
      </c>
      <c r="I22" s="60">
        <f>ROUNDDOWN(Tabela1[[#This Row],[R$ UNIT. COM BDI]]*Tabela1[[#This Row],[QTD]],2)</f>
        <v>0</v>
      </c>
    </row>
    <row r="23" spans="1:9" s="61" customFormat="1" ht="15.75" x14ac:dyDescent="0.25">
      <c r="A23" s="65" t="s">
        <v>144</v>
      </c>
      <c r="B23" s="8">
        <v>90781</v>
      </c>
      <c r="C23" s="65" t="s">
        <v>6</v>
      </c>
      <c r="D23" s="106" t="s">
        <v>202</v>
      </c>
      <c r="E23" s="65" t="s">
        <v>13</v>
      </c>
      <c r="F23" s="83">
        <v>44</v>
      </c>
      <c r="G23" s="176"/>
      <c r="H23" s="60">
        <f>ROUNDDOWN(Tabela1[[#This Row],[R$ UNIT.
SEM BDI]]*(1+I$5),2)</f>
        <v>0</v>
      </c>
      <c r="I23" s="60">
        <f>ROUNDDOWN(Tabela1[[#This Row],[R$ UNIT. COM BDI]]*Tabela1[[#This Row],[QTD]],2)</f>
        <v>0</v>
      </c>
    </row>
    <row r="24" spans="1:9" ht="15.75" x14ac:dyDescent="0.25">
      <c r="A24" s="113" t="s">
        <v>15</v>
      </c>
      <c r="B24" s="113"/>
      <c r="C24" s="113"/>
      <c r="D24" s="114" t="s">
        <v>36</v>
      </c>
      <c r="E24" s="113"/>
      <c r="F24" s="67"/>
      <c r="G24" s="67"/>
      <c r="H24" s="67"/>
      <c r="I24" s="67">
        <f>SUBTOTAL(109,I25:I31)</f>
        <v>0</v>
      </c>
    </row>
    <row r="25" spans="1:9" ht="15.75" x14ac:dyDescent="0.25">
      <c r="A25" s="115" t="s">
        <v>75</v>
      </c>
      <c r="B25" s="151" t="s">
        <v>140</v>
      </c>
      <c r="C25" s="71" t="s">
        <v>140</v>
      </c>
      <c r="D25" s="152" t="s">
        <v>38</v>
      </c>
      <c r="E25" s="153"/>
      <c r="F25" s="154"/>
      <c r="G25" s="177"/>
      <c r="H25" s="116"/>
      <c r="I25" s="116">
        <f>SUBTOTAL(109,I26:I27)</f>
        <v>0</v>
      </c>
    </row>
    <row r="26" spans="1:9" ht="78.75" x14ac:dyDescent="0.25">
      <c r="A26" s="65" t="s">
        <v>109</v>
      </c>
      <c r="B26" s="151">
        <v>101266</v>
      </c>
      <c r="C26" s="71" t="s">
        <v>6</v>
      </c>
      <c r="D26" s="105" t="s">
        <v>188</v>
      </c>
      <c r="E26" s="71" t="s">
        <v>124</v>
      </c>
      <c r="F26" s="83">
        <v>312.48</v>
      </c>
      <c r="G26" s="176"/>
      <c r="H26" s="60">
        <f>ROUNDDOWN(Tabela1[[#This Row],[R$ UNIT.
SEM BDI]]*(1+I$5),2)</f>
        <v>0</v>
      </c>
      <c r="I26" s="60">
        <f>ROUND(Tabela1[[#This Row],[R$ UNIT. COM BDI]]*Tabela1[[#This Row],[QTD]],2)</f>
        <v>0</v>
      </c>
    </row>
    <row r="27" spans="1:9" ht="31.5" x14ac:dyDescent="0.25">
      <c r="A27" s="65" t="s">
        <v>110</v>
      </c>
      <c r="B27" s="71" t="s">
        <v>78</v>
      </c>
      <c r="C27" s="71" t="s">
        <v>6</v>
      </c>
      <c r="D27" s="105" t="s">
        <v>77</v>
      </c>
      <c r="E27" s="71" t="s">
        <v>124</v>
      </c>
      <c r="F27" s="83">
        <v>265.61</v>
      </c>
      <c r="G27" s="176"/>
      <c r="H27" s="60">
        <f>ROUND(Tabela1[[#This Row],[R$ UNIT.
SEM BDI]]*(1+I$5),2)</f>
        <v>0</v>
      </c>
      <c r="I27" s="60">
        <f>ROUND(Tabela1[[#This Row],[R$ UNIT. COM BDI]]*Tabela1[[#This Row],[QTD]],2)</f>
        <v>0</v>
      </c>
    </row>
    <row r="28" spans="1:9" ht="47.25" customHeight="1" x14ac:dyDescent="0.25">
      <c r="A28" s="115" t="s">
        <v>82</v>
      </c>
      <c r="B28" s="71" t="s">
        <v>140</v>
      </c>
      <c r="C28" s="71" t="s">
        <v>140</v>
      </c>
      <c r="D28" s="152" t="s">
        <v>165</v>
      </c>
      <c r="E28" s="153"/>
      <c r="F28" s="154"/>
      <c r="G28" s="177"/>
      <c r="H28" s="116"/>
      <c r="I28" s="116">
        <f>SUBTOTAL(109,I29:I31)</f>
        <v>0</v>
      </c>
    </row>
    <row r="29" spans="1:9" s="61" customFormat="1" ht="63" x14ac:dyDescent="0.25">
      <c r="A29" s="71" t="s">
        <v>111</v>
      </c>
      <c r="B29" s="151">
        <v>100974</v>
      </c>
      <c r="C29" s="71" t="s">
        <v>6</v>
      </c>
      <c r="D29" s="105" t="s">
        <v>201</v>
      </c>
      <c r="E29" s="71" t="s">
        <v>124</v>
      </c>
      <c r="F29" s="83">
        <v>46.87</v>
      </c>
      <c r="G29" s="176"/>
      <c r="H29" s="60">
        <f>ROUND(Tabela1[[#This Row],[R$ UNIT.
SEM BDI]]*(1+I$5),2)</f>
        <v>0</v>
      </c>
      <c r="I29" s="83">
        <f>ROUND(Tabela1[[#This Row],[R$ UNIT. COM BDI]]*Tabela1[[#This Row],[QTD]],2)</f>
        <v>0</v>
      </c>
    </row>
    <row r="30" spans="1:9" s="61" customFormat="1" ht="47.25" x14ac:dyDescent="0.25">
      <c r="A30" s="71" t="s">
        <v>112</v>
      </c>
      <c r="B30" s="151">
        <v>95875</v>
      </c>
      <c r="C30" s="71" t="s">
        <v>6</v>
      </c>
      <c r="D30" s="105" t="s">
        <v>169</v>
      </c>
      <c r="E30" s="71" t="s">
        <v>125</v>
      </c>
      <c r="F30" s="83">
        <v>591.04</v>
      </c>
      <c r="G30" s="176"/>
      <c r="H30" s="60">
        <f>ROUND(Tabela1[[#This Row],[R$ UNIT.
SEM BDI]]*(1+I$5),2)</f>
        <v>0</v>
      </c>
      <c r="I30" s="83">
        <f>ROUND(Tabela1[[#This Row],[R$ UNIT. COM BDI]]*Tabela1[[#This Row],[QTD]],2)</f>
        <v>0</v>
      </c>
    </row>
    <row r="31" spans="1:9" s="61" customFormat="1" ht="32.25" customHeight="1" x14ac:dyDescent="0.25">
      <c r="A31" s="71" t="s">
        <v>113</v>
      </c>
      <c r="B31" s="71" t="s">
        <v>114</v>
      </c>
      <c r="C31" s="71" t="s">
        <v>115</v>
      </c>
      <c r="D31" s="105" t="s">
        <v>189</v>
      </c>
      <c r="E31" s="71" t="s">
        <v>124</v>
      </c>
      <c r="F31" s="83">
        <v>46.87</v>
      </c>
      <c r="G31" s="176"/>
      <c r="H31" s="60">
        <f>ROUND(Tabela1[[#This Row],[R$ UNIT.
SEM BDI]]*(1+I$6),2)</f>
        <v>0</v>
      </c>
      <c r="I31" s="60">
        <f>ROUND(Tabela1[[#This Row],[R$ UNIT. COM BDI]]*Tabela1[[#This Row],[QTD]],2)</f>
        <v>0</v>
      </c>
    </row>
    <row r="32" spans="1:9" ht="15.75" x14ac:dyDescent="0.25">
      <c r="A32" s="113" t="s">
        <v>16</v>
      </c>
      <c r="B32" s="117"/>
      <c r="C32" s="113"/>
      <c r="D32" s="114" t="s">
        <v>200</v>
      </c>
      <c r="E32" s="113"/>
      <c r="F32" s="67"/>
      <c r="G32" s="67"/>
      <c r="H32" s="67"/>
      <c r="I32" s="67">
        <f>SUBTOTAL(109,I33:I43)</f>
        <v>0</v>
      </c>
    </row>
    <row r="33" spans="1:9" s="72" customFormat="1" ht="31.5" x14ac:dyDescent="0.25">
      <c r="A33" s="71" t="s">
        <v>41</v>
      </c>
      <c r="B33" s="155">
        <v>99058</v>
      </c>
      <c r="C33" s="156" t="s">
        <v>6</v>
      </c>
      <c r="D33" s="157" t="s">
        <v>159</v>
      </c>
      <c r="E33" s="151" t="s">
        <v>134</v>
      </c>
      <c r="F33" s="158">
        <v>40</v>
      </c>
      <c r="G33" s="176"/>
      <c r="H33" s="60">
        <f>ROUNDDOWN(Tabela1[[#This Row],[R$ UNIT.
SEM BDI]]*(1+I$5),2)</f>
        <v>0</v>
      </c>
      <c r="I33" s="7">
        <f>ROUND(Tabela1[[#This Row],[R$ UNIT. COM BDI]]*Tabela1[[#This Row],[QTD]],2)</f>
        <v>0</v>
      </c>
    </row>
    <row r="34" spans="1:9" ht="47.25" x14ac:dyDescent="0.25">
      <c r="A34" s="71" t="s">
        <v>83</v>
      </c>
      <c r="B34" s="127">
        <v>100345</v>
      </c>
      <c r="C34" s="71" t="s">
        <v>6</v>
      </c>
      <c r="D34" s="105" t="s">
        <v>166</v>
      </c>
      <c r="E34" s="151" t="s">
        <v>11</v>
      </c>
      <c r="F34" s="83">
        <v>3149.97</v>
      </c>
      <c r="G34" s="176"/>
      <c r="H34" s="60">
        <f>ROUNDDOWN(Tabela1[[#This Row],[R$ UNIT.
SEM BDI]]*(1+I$5),2)</f>
        <v>0</v>
      </c>
      <c r="I34" s="60">
        <f>ROUND(Tabela1[[#This Row],[R$ UNIT. COM BDI]]*Tabela1[[#This Row],[QTD]],2)</f>
        <v>0</v>
      </c>
    </row>
    <row r="35" spans="1:9" ht="47.25" x14ac:dyDescent="0.25">
      <c r="A35" s="71" t="s">
        <v>42</v>
      </c>
      <c r="B35" s="151">
        <v>100346</v>
      </c>
      <c r="C35" s="71" t="s">
        <v>6</v>
      </c>
      <c r="D35" s="157" t="s">
        <v>161</v>
      </c>
      <c r="E35" s="151" t="s">
        <v>11</v>
      </c>
      <c r="F35" s="83">
        <v>2254.96</v>
      </c>
      <c r="G35" s="176"/>
      <c r="H35" s="60">
        <f>ROUNDDOWN(Tabela1[[#This Row],[R$ UNIT.
SEM BDI]]*(1+I$5),2)</f>
        <v>0</v>
      </c>
      <c r="I35" s="60">
        <f>ROUND(Tabela1[[#This Row],[R$ UNIT. COM BDI]]*Tabela1[[#This Row],[QTD]],2)</f>
        <v>0</v>
      </c>
    </row>
    <row r="36" spans="1:9" ht="47.25" x14ac:dyDescent="0.25">
      <c r="A36" s="71" t="s">
        <v>170</v>
      </c>
      <c r="B36" s="75" t="s">
        <v>193</v>
      </c>
      <c r="C36" s="156" t="s">
        <v>14</v>
      </c>
      <c r="D36" s="157" t="s">
        <v>205</v>
      </c>
      <c r="E36" s="75" t="s">
        <v>122</v>
      </c>
      <c r="F36" s="158">
        <v>254.96</v>
      </c>
      <c r="G36" s="176"/>
      <c r="H36" s="60">
        <f>ROUNDDOWN(Tabela1[[#This Row],[R$ UNIT.
SEM BDI]]*(1+I$5),2)</f>
        <v>0</v>
      </c>
      <c r="I36" s="7">
        <f>ROUND(Tabela1[[#This Row],[R$ UNIT. COM BDI]]*Tabela1[[#This Row],[QTD]],2)</f>
        <v>0</v>
      </c>
    </row>
    <row r="37" spans="1:9" ht="47.25" x14ac:dyDescent="0.25">
      <c r="A37" s="71" t="s">
        <v>171</v>
      </c>
      <c r="B37" s="127">
        <v>100349</v>
      </c>
      <c r="C37" s="156" t="s">
        <v>6</v>
      </c>
      <c r="D37" s="112" t="s">
        <v>158</v>
      </c>
      <c r="E37" s="75" t="s">
        <v>124</v>
      </c>
      <c r="F37" s="158">
        <v>66.427000000000007</v>
      </c>
      <c r="G37" s="176"/>
      <c r="H37" s="60">
        <f>ROUNDDOWN(Tabela1[[#This Row],[R$ UNIT.
SEM BDI]]*(1+I$5),2)</f>
        <v>0</v>
      </c>
      <c r="I37" s="7">
        <f>ROUNDDOWN(Tabela1[[#This Row],[R$ UNIT. COM BDI]]*Tabela1[[#This Row],[QTD]],2)</f>
        <v>0</v>
      </c>
    </row>
    <row r="38" spans="1:9" ht="31.5" x14ac:dyDescent="0.25">
      <c r="A38" s="71" t="s">
        <v>172</v>
      </c>
      <c r="B38" s="159">
        <v>102726</v>
      </c>
      <c r="C38" s="75" t="s">
        <v>6</v>
      </c>
      <c r="D38" s="160" t="s">
        <v>98</v>
      </c>
      <c r="E38" s="75" t="s">
        <v>134</v>
      </c>
      <c r="F38" s="158">
        <v>36</v>
      </c>
      <c r="G38" s="176"/>
      <c r="H38" s="60">
        <f>ROUND(Tabela1[[#This Row],[R$ UNIT.
SEM BDI]]*(1+I$5),2)</f>
        <v>0</v>
      </c>
      <c r="I38" s="7">
        <f>ROUND(Tabela1[[#This Row],[R$ UNIT. COM BDI]]*Tabela1[[#This Row],[QTD]],2)</f>
        <v>0</v>
      </c>
    </row>
    <row r="39" spans="1:9" ht="31.5" x14ac:dyDescent="0.25">
      <c r="A39" s="71" t="s">
        <v>173</v>
      </c>
      <c r="B39" s="151">
        <v>102716</v>
      </c>
      <c r="C39" s="75" t="s">
        <v>6</v>
      </c>
      <c r="D39" s="112" t="s">
        <v>12</v>
      </c>
      <c r="E39" s="75" t="s">
        <v>124</v>
      </c>
      <c r="F39" s="158">
        <v>15.7</v>
      </c>
      <c r="G39" s="176"/>
      <c r="H39" s="60">
        <f>ROUND(Tabela1[[#This Row],[R$ UNIT.
SEM BDI]]*(1+I$5),2)</f>
        <v>0</v>
      </c>
      <c r="I39" s="7">
        <f>ROUND(Tabela1[[#This Row],[R$ UNIT. COM BDI]]*Tabela1[[#This Row],[QTD]],2)</f>
        <v>0</v>
      </c>
    </row>
    <row r="40" spans="1:9" ht="31.5" x14ac:dyDescent="0.25">
      <c r="A40" s="71" t="s">
        <v>174</v>
      </c>
      <c r="B40" s="75" t="s">
        <v>152</v>
      </c>
      <c r="C40" s="75" t="s">
        <v>14</v>
      </c>
      <c r="D40" s="112" t="s">
        <v>167</v>
      </c>
      <c r="E40" s="75" t="s">
        <v>124</v>
      </c>
      <c r="F40" s="158">
        <v>33.67</v>
      </c>
      <c r="G40" s="176"/>
      <c r="H40" s="60">
        <f>ROUND(Tabela1[[#This Row],[R$ UNIT.
SEM BDI]]*(1+I$5),2)</f>
        <v>0</v>
      </c>
      <c r="I40" s="7">
        <f>ROUND(Tabela1[[#This Row],[R$ UNIT. COM BDI]]*Tabela1[[#This Row],[QTD]],2)</f>
        <v>0</v>
      </c>
    </row>
    <row r="41" spans="1:9" s="61" customFormat="1" ht="78.75" x14ac:dyDescent="0.25">
      <c r="A41" s="71" t="s">
        <v>175</v>
      </c>
      <c r="B41" s="151">
        <v>20193</v>
      </c>
      <c r="C41" s="156" t="s">
        <v>119</v>
      </c>
      <c r="D41" s="157" t="s">
        <v>192</v>
      </c>
      <c r="E41" s="151" t="s">
        <v>120</v>
      </c>
      <c r="F41" s="158">
        <v>1019.83</v>
      </c>
      <c r="G41" s="176"/>
      <c r="H41" s="60">
        <f>ROUNDDOWN(Tabela1[[#This Row],[R$ UNIT.
SEM BDI]]*(1+I$6),2)</f>
        <v>0</v>
      </c>
      <c r="I41" s="7">
        <f>ROUND(Tabela1[[#This Row],[R$ UNIT. COM BDI]]*Tabela1[[#This Row],[QTD]],2)</f>
        <v>0</v>
      </c>
    </row>
    <row r="42" spans="1:9" s="72" customFormat="1" ht="47.25" x14ac:dyDescent="0.25">
      <c r="A42" s="71" t="s">
        <v>176</v>
      </c>
      <c r="B42" s="155">
        <v>97063</v>
      </c>
      <c r="C42" s="156" t="s">
        <v>6</v>
      </c>
      <c r="D42" s="157" t="s">
        <v>121</v>
      </c>
      <c r="E42" s="151" t="s">
        <v>122</v>
      </c>
      <c r="F42" s="158">
        <v>254.96</v>
      </c>
      <c r="G42" s="176"/>
      <c r="H42" s="60">
        <f>ROUNDDOWN(Tabela1[[#This Row],[R$ UNIT.
SEM BDI]]*(1+I$5),2)</f>
        <v>0</v>
      </c>
      <c r="I42" s="7">
        <f>ROUND(Tabela1[[#This Row],[R$ UNIT. COM BDI]]*Tabela1[[#This Row],[QTD]],2)</f>
        <v>0</v>
      </c>
    </row>
    <row r="43" spans="1:9" s="72" customFormat="1" ht="31.5" x14ac:dyDescent="0.25">
      <c r="A43" s="71" t="s">
        <v>184</v>
      </c>
      <c r="B43" s="155">
        <v>96616</v>
      </c>
      <c r="C43" s="156" t="s">
        <v>6</v>
      </c>
      <c r="D43" s="157" t="s">
        <v>185</v>
      </c>
      <c r="E43" s="151" t="s">
        <v>124</v>
      </c>
      <c r="F43" s="158">
        <v>3.13</v>
      </c>
      <c r="G43" s="176"/>
      <c r="H43" s="60">
        <f>ROUND(Tabela1[[#This Row],[R$ UNIT.
SEM BDI]]*(1+I$5),2)</f>
        <v>0</v>
      </c>
      <c r="I43" s="7">
        <f>ROUND(Tabela1[[#This Row],[R$ UNIT. COM BDI]]*Tabela1[[#This Row],[QTD]],2)</f>
        <v>0</v>
      </c>
    </row>
    <row r="44" spans="1:9" ht="15.75" x14ac:dyDescent="0.25">
      <c r="A44" s="113" t="s">
        <v>100</v>
      </c>
      <c r="B44" s="117"/>
      <c r="C44" s="113"/>
      <c r="D44" s="114" t="s">
        <v>102</v>
      </c>
      <c r="E44" s="113"/>
      <c r="F44" s="67"/>
      <c r="G44" s="67"/>
      <c r="H44" s="67"/>
      <c r="I44" s="67">
        <f>SUBTOTAL(109,I45:I45)</f>
        <v>0</v>
      </c>
    </row>
    <row r="45" spans="1:9" s="126" customFormat="1" ht="31.5" x14ac:dyDescent="0.25">
      <c r="A45" s="71" t="s">
        <v>99</v>
      </c>
      <c r="B45" s="151">
        <v>103946</v>
      </c>
      <c r="C45" s="76" t="s">
        <v>6</v>
      </c>
      <c r="D45" s="105" t="s">
        <v>168</v>
      </c>
      <c r="E45" s="71" t="s">
        <v>122</v>
      </c>
      <c r="F45" s="83">
        <v>102.98</v>
      </c>
      <c r="G45" s="176"/>
      <c r="H45" s="60">
        <f>ROUND(Tabela1[[#This Row],[R$ UNIT.
SEM BDI]]*(1+I$5),2)</f>
        <v>0</v>
      </c>
      <c r="I45" s="7">
        <f>ROUND(Tabela1[[#This Row],[R$ UNIT. COM BDI]]*Tabela1[[#This Row],[QTD]],2)</f>
        <v>0</v>
      </c>
    </row>
    <row r="46" spans="1:9" ht="15.75" x14ac:dyDescent="0.25">
      <c r="A46" s="113" t="s">
        <v>97</v>
      </c>
      <c r="B46" s="117"/>
      <c r="C46" s="113"/>
      <c r="D46" s="114" t="s">
        <v>40</v>
      </c>
      <c r="E46" s="113"/>
      <c r="F46" s="67"/>
      <c r="G46" s="67"/>
      <c r="H46" s="67"/>
      <c r="I46" s="67">
        <f>SUBTOTAL(109,I47:I56)</f>
        <v>0</v>
      </c>
    </row>
    <row r="47" spans="1:9" ht="47.25" x14ac:dyDescent="0.25">
      <c r="A47" s="6" t="s">
        <v>103</v>
      </c>
      <c r="B47" s="127">
        <v>99264</v>
      </c>
      <c r="C47" s="76" t="s">
        <v>6</v>
      </c>
      <c r="D47" s="112" t="s">
        <v>146</v>
      </c>
      <c r="E47" s="75" t="s">
        <v>134</v>
      </c>
      <c r="F47" s="158">
        <v>3</v>
      </c>
      <c r="G47" s="176"/>
      <c r="H47" s="60">
        <f>ROUND(Tabela1[[#This Row],[R$ UNIT.
SEM BDI]]*(1+I$5),2)</f>
        <v>0</v>
      </c>
      <c r="I47" s="7">
        <f>ROUND(Tabela1[[#This Row],[R$ UNIT. COM BDI]]*Tabela1[[#This Row],[QTD]],2)</f>
        <v>0</v>
      </c>
    </row>
    <row r="48" spans="1:9" ht="47.25" x14ac:dyDescent="0.25">
      <c r="A48" s="6" t="s">
        <v>104</v>
      </c>
      <c r="B48" s="127">
        <v>102995</v>
      </c>
      <c r="C48" s="76" t="s">
        <v>6</v>
      </c>
      <c r="D48" s="112" t="s">
        <v>145</v>
      </c>
      <c r="E48" s="75" t="s">
        <v>7</v>
      </c>
      <c r="F48" s="158">
        <v>15.1</v>
      </c>
      <c r="G48" s="176"/>
      <c r="H48" s="60">
        <f>ROUNDDOWN(Tabela1[[#This Row],[R$ UNIT.
SEM BDI]]*(1+I$5),2)</f>
        <v>0</v>
      </c>
      <c r="I48" s="7">
        <f>ROUND(Tabela1[[#This Row],[R$ UNIT. COM BDI]]*Tabela1[[#This Row],[QTD]],2)</f>
        <v>0</v>
      </c>
    </row>
    <row r="49" spans="1:9" ht="47.25" x14ac:dyDescent="0.25">
      <c r="A49" s="6" t="s">
        <v>105</v>
      </c>
      <c r="B49" s="161">
        <v>90696</v>
      </c>
      <c r="C49" s="156" t="s">
        <v>6</v>
      </c>
      <c r="D49" s="162" t="s">
        <v>90</v>
      </c>
      <c r="E49" s="71" t="s">
        <v>7</v>
      </c>
      <c r="F49" s="163">
        <v>26.560000000000002</v>
      </c>
      <c r="G49" s="176"/>
      <c r="H49" s="60">
        <f>ROUND(Tabela1[[#This Row],[R$ UNIT.
SEM BDI]]*(1+I$5),2)</f>
        <v>0</v>
      </c>
      <c r="I49" s="7">
        <f>ROUND(Tabela1[[#This Row],[R$ UNIT. COM BDI]]*Tabela1[[#This Row],[QTD]],2)</f>
        <v>0</v>
      </c>
    </row>
    <row r="50" spans="1:9" ht="31.5" customHeight="1" x14ac:dyDescent="0.25">
      <c r="A50" s="6" t="s">
        <v>177</v>
      </c>
      <c r="B50" s="71" t="s">
        <v>153</v>
      </c>
      <c r="C50" s="76" t="s">
        <v>14</v>
      </c>
      <c r="D50" s="112" t="s">
        <v>186</v>
      </c>
      <c r="E50" s="75" t="s">
        <v>134</v>
      </c>
      <c r="F50" s="163">
        <v>5</v>
      </c>
      <c r="G50" s="176"/>
      <c r="H50" s="60">
        <f>ROUND(Tabela1[[#This Row],[R$ UNIT.
SEM BDI]]*(1+I$5),2)</f>
        <v>0</v>
      </c>
      <c r="I50" s="7">
        <f>ROUND(Tabela1[[#This Row],[R$ UNIT. COM BDI]]*Tabela1[[#This Row],[QTD]],2)</f>
        <v>0</v>
      </c>
    </row>
    <row r="51" spans="1:9" ht="15.75" x14ac:dyDescent="0.25">
      <c r="A51" s="6" t="s">
        <v>178</v>
      </c>
      <c r="B51" s="128">
        <v>99063</v>
      </c>
      <c r="C51" s="76" t="s">
        <v>6</v>
      </c>
      <c r="D51" s="77" t="s">
        <v>118</v>
      </c>
      <c r="E51" s="75" t="s">
        <v>7</v>
      </c>
      <c r="F51" s="70">
        <v>41.660000000000004</v>
      </c>
      <c r="G51" s="176"/>
      <c r="H51" s="60">
        <f>ROUND(Tabela1[[#This Row],[R$ UNIT.
SEM BDI]]*(1+I$5),2)</f>
        <v>0</v>
      </c>
      <c r="I51" s="7">
        <f>ROUND(Tabela1[[#This Row],[R$ UNIT. COM BDI]]*Tabela1[[#This Row],[QTD]],2)</f>
        <v>0</v>
      </c>
    </row>
    <row r="52" spans="1:9" ht="78.75" x14ac:dyDescent="0.25">
      <c r="A52" s="6" t="s">
        <v>179</v>
      </c>
      <c r="B52" s="128">
        <v>90099</v>
      </c>
      <c r="C52" s="73" t="s">
        <v>6</v>
      </c>
      <c r="D52" s="74" t="s">
        <v>123</v>
      </c>
      <c r="E52" s="75" t="s">
        <v>124</v>
      </c>
      <c r="F52" s="70">
        <v>15.94</v>
      </c>
      <c r="G52" s="176"/>
      <c r="H52" s="60">
        <f>ROUNDDOWN(Tabela1[[#This Row],[R$ UNIT.
SEM BDI]]*(1+I$5),2)</f>
        <v>0</v>
      </c>
      <c r="I52" s="7">
        <f>ROUND(Tabela1[[#This Row],[R$ UNIT. COM BDI]]*Tabela1[[#This Row],[QTD]],2)</f>
        <v>0</v>
      </c>
    </row>
    <row r="53" spans="1:9" ht="31.5" x14ac:dyDescent="0.25">
      <c r="A53" s="6" t="s">
        <v>180</v>
      </c>
      <c r="B53" s="159">
        <v>93382</v>
      </c>
      <c r="C53" s="73" t="s">
        <v>6</v>
      </c>
      <c r="D53" s="164" t="s">
        <v>77</v>
      </c>
      <c r="E53" s="75" t="s">
        <v>124</v>
      </c>
      <c r="F53" s="70">
        <v>15.1</v>
      </c>
      <c r="G53" s="176"/>
      <c r="H53" s="60">
        <f>ROUND(Tabela1[[#This Row],[R$ UNIT.
SEM BDI]]*(1+I$5),2)</f>
        <v>0</v>
      </c>
      <c r="I53" s="7">
        <f>ROUND(Tabela1[[#This Row],[R$ UNIT. COM BDI]]*Tabela1[[#This Row],[QTD]],2)</f>
        <v>0</v>
      </c>
    </row>
    <row r="54" spans="1:9" ht="63" x14ac:dyDescent="0.25">
      <c r="A54" s="6" t="s">
        <v>181</v>
      </c>
      <c r="B54" s="151">
        <v>100974</v>
      </c>
      <c r="C54" s="73" t="s">
        <v>6</v>
      </c>
      <c r="D54" s="160" t="s">
        <v>201</v>
      </c>
      <c r="E54" s="75" t="s">
        <v>124</v>
      </c>
      <c r="F54" s="70">
        <v>0.83</v>
      </c>
      <c r="G54" s="176"/>
      <c r="H54" s="60">
        <f>ROUND(Tabela1[[#This Row],[R$ UNIT.
SEM BDI]]*(1+I$5),2)</f>
        <v>0</v>
      </c>
      <c r="I54" s="84">
        <f>ROUND(Tabela1[[#This Row],[R$ UNIT. COM BDI]]*Tabela1[[#This Row],[QTD]],2)</f>
        <v>0</v>
      </c>
    </row>
    <row r="55" spans="1:9" ht="47.25" x14ac:dyDescent="0.25">
      <c r="A55" s="6" t="s">
        <v>182</v>
      </c>
      <c r="B55" s="151">
        <v>95875</v>
      </c>
      <c r="C55" s="71" t="s">
        <v>6</v>
      </c>
      <c r="D55" s="105" t="s">
        <v>169</v>
      </c>
      <c r="E55" s="75" t="s">
        <v>125</v>
      </c>
      <c r="F55" s="70">
        <v>10.52</v>
      </c>
      <c r="G55" s="176"/>
      <c r="H55" s="60">
        <f>ROUND(Tabela1[[#This Row],[R$ UNIT.
SEM BDI]]*(1+I$5),2)</f>
        <v>0</v>
      </c>
      <c r="I55" s="84">
        <f>ROUND(Tabela1[[#This Row],[R$ UNIT. COM BDI]]*Tabela1[[#This Row],[QTD]],2)</f>
        <v>0</v>
      </c>
    </row>
    <row r="56" spans="1:9" ht="33" customHeight="1" x14ac:dyDescent="0.25">
      <c r="A56" s="6" t="s">
        <v>183</v>
      </c>
      <c r="B56" s="71" t="s">
        <v>149</v>
      </c>
      <c r="C56" s="73" t="s">
        <v>115</v>
      </c>
      <c r="D56" s="105" t="s">
        <v>189</v>
      </c>
      <c r="E56" s="71" t="s">
        <v>124</v>
      </c>
      <c r="F56" s="70">
        <v>0.83</v>
      </c>
      <c r="G56" s="176"/>
      <c r="H56" s="60">
        <f>ROUNDDOWN(Tabela1[[#This Row],[R$ UNIT.
SEM BDI]]*(1+I$6),2)</f>
        <v>0</v>
      </c>
      <c r="I56" s="7">
        <f>ROUND(Tabela1[[#This Row],[R$ UNIT. COM BDI]]*Tabela1[[#This Row],[QTD]],2)</f>
        <v>0</v>
      </c>
    </row>
    <row r="57" spans="1:9" ht="15.75" x14ac:dyDescent="0.25">
      <c r="A57" s="113" t="s">
        <v>116</v>
      </c>
      <c r="B57" s="117"/>
      <c r="C57" s="113"/>
      <c r="D57" s="118" t="s">
        <v>141</v>
      </c>
      <c r="E57" s="113"/>
      <c r="F57" s="67"/>
      <c r="G57" s="67"/>
      <c r="H57" s="67"/>
      <c r="I57" s="67">
        <f>SUBTOTAL(109,I58)</f>
        <v>0</v>
      </c>
    </row>
    <row r="58" spans="1:9" ht="20.25" customHeight="1" x14ac:dyDescent="0.25">
      <c r="A58" s="75" t="s">
        <v>117</v>
      </c>
      <c r="B58" s="73" t="s">
        <v>140</v>
      </c>
      <c r="C58" s="76" t="s">
        <v>140</v>
      </c>
      <c r="D58" s="74" t="s">
        <v>142</v>
      </c>
      <c r="E58" s="75" t="s">
        <v>134</v>
      </c>
      <c r="F58" s="70">
        <v>1</v>
      </c>
      <c r="G58" s="176"/>
      <c r="H58" s="60">
        <f>ROUND(Tabela1[[#This Row],[R$ UNIT.
SEM BDI]]*(1+I$5),2)</f>
        <v>0</v>
      </c>
      <c r="I58" s="7">
        <f>ROUND(Tabela1[[#This Row],[R$ UNIT. COM BDI]]*Tabela1[[#This Row],[QTD]],2)</f>
        <v>0</v>
      </c>
    </row>
    <row r="59" spans="1:9" ht="15.75" hidden="1" x14ac:dyDescent="0.25">
      <c r="A59" s="171"/>
      <c r="B59" s="172"/>
      <c r="C59" s="171"/>
      <c r="D59" s="173"/>
      <c r="E59" s="171"/>
      <c r="F59" s="174"/>
      <c r="G59" s="174"/>
      <c r="H59" s="174" t="s">
        <v>1</v>
      </c>
      <c r="I59" s="175">
        <f>(I9+I15+I18+I24+I32+I44+I46+I57)</f>
        <v>0</v>
      </c>
    </row>
  </sheetData>
  <mergeCells count="10">
    <mergeCell ref="A1:I1"/>
    <mergeCell ref="A2:I2"/>
    <mergeCell ref="A3:I3"/>
    <mergeCell ref="A4:I4"/>
    <mergeCell ref="A5:A6"/>
    <mergeCell ref="G5:H5"/>
    <mergeCell ref="G6:H6"/>
    <mergeCell ref="F5:F6"/>
    <mergeCell ref="E5:E6"/>
    <mergeCell ref="B5:D6"/>
  </mergeCells>
  <phoneticPr fontId="34" type="noConversion"/>
  <printOptions horizontalCentered="1"/>
  <pageMargins left="0.39370078740157483" right="0.51181102362204722" top="0.39370078740157483" bottom="0.39370078740157483" header="0" footer="0"/>
  <pageSetup paperSize="9" scale="57" fitToHeight="3" orientation="portrait" r:id="rId1"/>
  <ignoredErrors>
    <ignoredError sqref="B27 B11" numberStoredAsText="1"/>
  </ignoredErrors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J1001"/>
  <sheetViews>
    <sheetView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" sqref="A4:H4"/>
    </sheetView>
  </sheetViews>
  <sheetFormatPr defaultColWidth="14.42578125" defaultRowHeight="15" customHeight="1" x14ac:dyDescent="0.25"/>
  <cols>
    <col min="1" max="1" width="6.5703125" style="3" bestFit="1" customWidth="1"/>
    <col min="2" max="2" width="25.5703125" style="3" customWidth="1"/>
    <col min="3" max="3" width="18.7109375" style="3" bestFit="1" customWidth="1"/>
    <col min="4" max="4" width="13.5703125" style="3" bestFit="1" customWidth="1"/>
    <col min="5" max="5" width="13.5703125" style="3" customWidth="1"/>
    <col min="6" max="7" width="13.5703125" style="3" bestFit="1" customWidth="1"/>
    <col min="8" max="8" width="15" style="3" customWidth="1"/>
    <col min="9" max="9" width="17.140625" style="3" hidden="1" customWidth="1"/>
    <col min="10" max="10" width="8.7109375" style="3" hidden="1" customWidth="1"/>
    <col min="11" max="17" width="8.7109375" style="3" customWidth="1"/>
    <col min="18" max="16384" width="14.42578125" style="3"/>
  </cols>
  <sheetData>
    <row r="1" spans="1:10" s="78" customFormat="1" ht="20.25" x14ac:dyDescent="0.25">
      <c r="A1" s="178" t="s">
        <v>127</v>
      </c>
      <c r="B1" s="179"/>
      <c r="C1" s="179"/>
      <c r="D1" s="179"/>
      <c r="E1" s="179"/>
      <c r="F1" s="179"/>
      <c r="G1" s="179"/>
      <c r="H1" s="180"/>
    </row>
    <row r="2" spans="1:10" s="78" customFormat="1" ht="15" customHeight="1" x14ac:dyDescent="0.25">
      <c r="A2" s="212" t="s">
        <v>128</v>
      </c>
      <c r="B2" s="182"/>
      <c r="C2" s="182"/>
      <c r="D2" s="182"/>
      <c r="E2" s="182"/>
      <c r="F2" s="182"/>
      <c r="G2" s="182"/>
      <c r="H2" s="183"/>
    </row>
    <row r="3" spans="1:10" s="78" customFormat="1" ht="15" customHeight="1" x14ac:dyDescent="0.25">
      <c r="A3" s="213" t="s">
        <v>129</v>
      </c>
      <c r="B3" s="185"/>
      <c r="C3" s="185"/>
      <c r="D3" s="185"/>
      <c r="E3" s="185"/>
      <c r="F3" s="185"/>
      <c r="G3" s="185"/>
      <c r="H3" s="186"/>
    </row>
    <row r="4" spans="1:10" s="78" customFormat="1" ht="15" customHeight="1" x14ac:dyDescent="0.25">
      <c r="A4" s="214" t="s">
        <v>208</v>
      </c>
      <c r="B4" s="215"/>
      <c r="C4" s="215"/>
      <c r="D4" s="215"/>
      <c r="E4" s="215"/>
      <c r="F4" s="215"/>
      <c r="G4" s="215"/>
      <c r="H4" s="216"/>
    </row>
    <row r="5" spans="1:10" s="78" customFormat="1" ht="15" customHeight="1" x14ac:dyDescent="0.25">
      <c r="A5" s="86" t="s">
        <v>130</v>
      </c>
      <c r="B5" s="217" t="s">
        <v>194</v>
      </c>
      <c r="C5" s="218"/>
      <c r="D5" s="218"/>
      <c r="E5" s="218"/>
      <c r="F5" s="219"/>
      <c r="G5" s="165" t="s">
        <v>131</v>
      </c>
      <c r="H5" s="165" t="s">
        <v>195</v>
      </c>
    </row>
    <row r="6" spans="1:10" x14ac:dyDescent="0.25">
      <c r="A6" s="220" t="s">
        <v>0</v>
      </c>
      <c r="B6" s="220" t="s">
        <v>2</v>
      </c>
      <c r="C6" s="221" t="s">
        <v>18</v>
      </c>
      <c r="D6" s="220" t="s">
        <v>139</v>
      </c>
      <c r="E6" s="220"/>
      <c r="F6" s="220"/>
      <c r="G6" s="220"/>
      <c r="H6" s="220"/>
    </row>
    <row r="7" spans="1:10" x14ac:dyDescent="0.25">
      <c r="A7" s="197"/>
      <c r="B7" s="197"/>
      <c r="C7" s="197"/>
      <c r="D7" s="87" t="s">
        <v>19</v>
      </c>
      <c r="E7" s="87" t="s">
        <v>20</v>
      </c>
      <c r="F7" s="87" t="s">
        <v>21</v>
      </c>
      <c r="G7" s="87" t="s">
        <v>22</v>
      </c>
      <c r="H7" s="87" t="s">
        <v>23</v>
      </c>
    </row>
    <row r="8" spans="1:10" x14ac:dyDescent="0.25">
      <c r="A8" s="196">
        <v>1</v>
      </c>
      <c r="B8" s="198" t="str">
        <f>ORÇAMENTO!D9</f>
        <v>INSTALAÇÕES PROVISÓRIAS</v>
      </c>
      <c r="C8" s="90" t="e">
        <f>C9/$C$25</f>
        <v>#DIV/0!</v>
      </c>
      <c r="D8" s="90"/>
      <c r="E8" s="90">
        <f t="shared" ref="E8:H8" si="0">E12</f>
        <v>0.29372926308820729</v>
      </c>
      <c r="F8" s="90">
        <f t="shared" si="0"/>
        <v>0.2126083363311877</v>
      </c>
      <c r="G8" s="90">
        <f t="shared" si="0"/>
        <v>0.24083516308384656</v>
      </c>
      <c r="H8" s="90">
        <f t="shared" si="0"/>
        <v>0.25282723749679681</v>
      </c>
      <c r="J8" s="88">
        <f>SUM(D8:H8)</f>
        <v>1.0000000000000384</v>
      </c>
    </row>
    <row r="9" spans="1:10" x14ac:dyDescent="0.25">
      <c r="A9" s="197"/>
      <c r="B9" s="199"/>
      <c r="C9" s="91">
        <f>ORÇAMENTO!I9</f>
        <v>0</v>
      </c>
      <c r="D9" s="91"/>
      <c r="E9" s="91">
        <f t="shared" ref="E9:H9" si="1">ROUND($C$9*E8,8)</f>
        <v>0</v>
      </c>
      <c r="F9" s="91">
        <f t="shared" si="1"/>
        <v>0</v>
      </c>
      <c r="G9" s="91">
        <f t="shared" si="1"/>
        <v>0</v>
      </c>
      <c r="H9" s="91">
        <f t="shared" si="1"/>
        <v>0</v>
      </c>
      <c r="I9" s="68">
        <f>SUM(D9:H9)</f>
        <v>0</v>
      </c>
    </row>
    <row r="10" spans="1:10" s="69" customFormat="1" x14ac:dyDescent="0.25">
      <c r="A10" s="196">
        <v>2</v>
      </c>
      <c r="B10" s="198" t="str">
        <f>ORÇAMENTO!D15</f>
        <v>INSTALAÇÕES DA OBRA</v>
      </c>
      <c r="C10" s="90" t="e">
        <f>C11/$C$25</f>
        <v>#DIV/0!</v>
      </c>
      <c r="D10" s="90"/>
      <c r="E10" s="90">
        <f>E12</f>
        <v>0.29372926308820729</v>
      </c>
      <c r="F10" s="90">
        <f t="shared" ref="F10:H10" si="2">F12</f>
        <v>0.2126083363311877</v>
      </c>
      <c r="G10" s="90">
        <f t="shared" si="2"/>
        <v>0.24083516308384656</v>
      </c>
      <c r="H10" s="90">
        <f t="shared" si="2"/>
        <v>0.25282723749679681</v>
      </c>
      <c r="I10" s="88"/>
      <c r="J10" s="88">
        <f>SUM(D10:H10)</f>
        <v>1.0000000000000384</v>
      </c>
    </row>
    <row r="11" spans="1:10" s="69" customFormat="1" x14ac:dyDescent="0.25">
      <c r="A11" s="197"/>
      <c r="B11" s="199"/>
      <c r="C11" s="91">
        <f>ORÇAMENTO!I15</f>
        <v>0</v>
      </c>
      <c r="D11" s="91"/>
      <c r="E11" s="91">
        <f t="shared" ref="E11:H11" si="3">ROUND($C$11*E10,8)</f>
        <v>0</v>
      </c>
      <c r="F11" s="91">
        <f t="shared" si="3"/>
        <v>0</v>
      </c>
      <c r="G11" s="91">
        <f t="shared" si="3"/>
        <v>0</v>
      </c>
      <c r="H11" s="91">
        <f t="shared" si="3"/>
        <v>0</v>
      </c>
      <c r="I11" s="68">
        <f>SUM(D11:H11)</f>
        <v>0</v>
      </c>
    </row>
    <row r="12" spans="1:10" s="123" customFormat="1" ht="20.25" customHeight="1" x14ac:dyDescent="0.25">
      <c r="A12" s="196">
        <v>3</v>
      </c>
      <c r="B12" s="198" t="str">
        <f>ORÇAMENTO!D18</f>
        <v>ADMINISTRAÇÃO LOCAL DA OBRA (LIMITADO A 10,68% CONFORME TCU)</v>
      </c>
      <c r="C12" s="120" t="e">
        <f>C13/$C$25</f>
        <v>#DIV/0!</v>
      </c>
      <c r="D12" s="120"/>
      <c r="E12" s="120">
        <v>0.29372926308820729</v>
      </c>
      <c r="F12" s="120">
        <v>0.2126083363311877</v>
      </c>
      <c r="G12" s="120">
        <v>0.24083516308384656</v>
      </c>
      <c r="H12" s="120">
        <v>0.25282723749679681</v>
      </c>
      <c r="I12" s="121">
        <v>2.5000022150504239E-3</v>
      </c>
      <c r="J12" s="122">
        <v>2.5000022150504239E-3</v>
      </c>
    </row>
    <row r="13" spans="1:10" s="123" customFormat="1" ht="20.25" customHeight="1" x14ac:dyDescent="0.25">
      <c r="A13" s="197"/>
      <c r="B13" s="199"/>
      <c r="C13" s="124">
        <f>ORÇAMENTO!I18</f>
        <v>0</v>
      </c>
      <c r="D13" s="124"/>
      <c r="E13" s="124">
        <f t="shared" ref="E13:H13" si="4">ROUND($C$13*E12,8)</f>
        <v>0</v>
      </c>
      <c r="F13" s="124">
        <f t="shared" si="4"/>
        <v>0</v>
      </c>
      <c r="G13" s="124">
        <f t="shared" si="4"/>
        <v>0</v>
      </c>
      <c r="H13" s="124">
        <f t="shared" si="4"/>
        <v>0</v>
      </c>
      <c r="I13" s="121">
        <f>SUM(D13:H13)</f>
        <v>0</v>
      </c>
    </row>
    <row r="14" spans="1:10" x14ac:dyDescent="0.25">
      <c r="A14" s="196">
        <v>4</v>
      </c>
      <c r="B14" s="198" t="str">
        <f>ORÇAMENTO!D24</f>
        <v>TERRAPLENAGEM</v>
      </c>
      <c r="C14" s="90" t="e">
        <f>C15/$C$25</f>
        <v>#DIV/0!</v>
      </c>
      <c r="D14" s="90"/>
      <c r="E14" s="90">
        <v>1</v>
      </c>
      <c r="F14" s="90"/>
      <c r="G14" s="90"/>
      <c r="H14" s="90"/>
      <c r="I14" s="68"/>
      <c r="J14" s="88">
        <f>SUM(D14:H14)</f>
        <v>1</v>
      </c>
    </row>
    <row r="15" spans="1:10" x14ac:dyDescent="0.25">
      <c r="A15" s="197"/>
      <c r="B15" s="199"/>
      <c r="C15" s="91">
        <f>ORÇAMENTO!I24</f>
        <v>0</v>
      </c>
      <c r="D15" s="91"/>
      <c r="E15" s="91">
        <f>ROUND($C$15*E14,8)</f>
        <v>0</v>
      </c>
      <c r="F15" s="91"/>
      <c r="G15" s="91"/>
      <c r="H15" s="91"/>
      <c r="I15" s="68">
        <f>SUM(D15:H15)</f>
        <v>0</v>
      </c>
    </row>
    <row r="16" spans="1:10" x14ac:dyDescent="0.25">
      <c r="A16" s="196">
        <v>5</v>
      </c>
      <c r="B16" s="198" t="str">
        <f>ORÇAMENTO!D32</f>
        <v>MURO DE CONCRETO ARMADO</v>
      </c>
      <c r="C16" s="90" t="e">
        <f>C17/$C$25</f>
        <v>#DIV/0!</v>
      </c>
      <c r="D16" s="90"/>
      <c r="E16" s="93">
        <v>0.25</v>
      </c>
      <c r="F16" s="93">
        <v>0.25</v>
      </c>
      <c r="G16" s="93">
        <v>0.25</v>
      </c>
      <c r="H16" s="93">
        <v>0.25</v>
      </c>
      <c r="I16" s="68"/>
      <c r="J16" s="88">
        <f>SUM(D16:H16)</f>
        <v>1</v>
      </c>
    </row>
    <row r="17" spans="1:10" x14ac:dyDescent="0.25">
      <c r="A17" s="197"/>
      <c r="B17" s="199"/>
      <c r="C17" s="91">
        <f>ORÇAMENTO!I32</f>
        <v>0</v>
      </c>
      <c r="D17" s="91"/>
      <c r="E17" s="91">
        <f t="shared" ref="E17" si="5">ROUND($C$17*E16,8)</f>
        <v>0</v>
      </c>
      <c r="F17" s="91">
        <f t="shared" ref="F17:H17" si="6">ROUND($C$17*F16,8)</f>
        <v>0</v>
      </c>
      <c r="G17" s="91">
        <f t="shared" si="6"/>
        <v>0</v>
      </c>
      <c r="H17" s="91">
        <f t="shared" si="6"/>
        <v>0</v>
      </c>
      <c r="I17" s="68">
        <f>SUM(D17:H17)</f>
        <v>0</v>
      </c>
    </row>
    <row r="18" spans="1:10" s="69" customFormat="1" x14ac:dyDescent="0.25">
      <c r="A18" s="196">
        <v>6</v>
      </c>
      <c r="B18" s="211" t="str">
        <f>ORÇAMENTO!D44</f>
        <v>PLANTIO DE GRAMA</v>
      </c>
      <c r="C18" s="90" t="e">
        <f>C19/$C$25</f>
        <v>#DIV/0!</v>
      </c>
      <c r="D18" s="90"/>
      <c r="E18" s="92"/>
      <c r="F18" s="89"/>
      <c r="G18" s="89"/>
      <c r="H18" s="93">
        <v>1</v>
      </c>
      <c r="I18" s="68"/>
      <c r="J18" s="88">
        <f>SUM(D18:H18)</f>
        <v>1</v>
      </c>
    </row>
    <row r="19" spans="1:10" s="69" customFormat="1" x14ac:dyDescent="0.25">
      <c r="A19" s="197"/>
      <c r="B19" s="197"/>
      <c r="C19" s="91">
        <f>ORÇAMENTO!I44</f>
        <v>0</v>
      </c>
      <c r="D19" s="91"/>
      <c r="E19" s="91"/>
      <c r="F19" s="91"/>
      <c r="G19" s="91"/>
      <c r="H19" s="91">
        <f t="shared" ref="H19" si="7">ROUND($C$19*H18,8)</f>
        <v>0</v>
      </c>
      <c r="I19" s="68">
        <f>SUM(D19:H19)</f>
        <v>0</v>
      </c>
    </row>
    <row r="20" spans="1:10" x14ac:dyDescent="0.25">
      <c r="A20" s="196">
        <v>7</v>
      </c>
      <c r="B20" s="211" t="str">
        <f>ORÇAMENTO!D46</f>
        <v>DRENAGEM</v>
      </c>
      <c r="C20" s="90" t="e">
        <f>C21/$C$25</f>
        <v>#DIV/0!</v>
      </c>
      <c r="D20" s="90"/>
      <c r="E20" s="92"/>
      <c r="F20" s="89"/>
      <c r="G20" s="93">
        <v>0.5</v>
      </c>
      <c r="H20" s="93">
        <v>0.5</v>
      </c>
      <c r="I20" s="68"/>
      <c r="J20" s="88">
        <f>SUM(D20:H20)</f>
        <v>1</v>
      </c>
    </row>
    <row r="21" spans="1:10" x14ac:dyDescent="0.25">
      <c r="A21" s="197"/>
      <c r="B21" s="197"/>
      <c r="C21" s="91">
        <f>ORÇAMENTO!I46</f>
        <v>0</v>
      </c>
      <c r="D21" s="91"/>
      <c r="E21" s="91"/>
      <c r="F21" s="91"/>
      <c r="G21" s="91">
        <f t="shared" ref="G21" si="8">ROUND($C$21*G20,8)</f>
        <v>0</v>
      </c>
      <c r="H21" s="91">
        <f t="shared" ref="H21" si="9">ROUND($C$21*H20,8)</f>
        <v>0</v>
      </c>
      <c r="I21" s="68">
        <f>SUM(D21:H21)</f>
        <v>0</v>
      </c>
    </row>
    <row r="22" spans="1:10" s="78" customFormat="1" x14ac:dyDescent="0.25">
      <c r="A22" s="196">
        <v>8</v>
      </c>
      <c r="B22" s="198" t="str">
        <f>ORÇAMENTO!D57</f>
        <v>ELABORAÇÃO DE PROJETOS EM GERAL</v>
      </c>
      <c r="C22" s="90" t="e">
        <f>C23/$C$25</f>
        <v>#DIV/0!</v>
      </c>
      <c r="D22" s="90">
        <v>1</v>
      </c>
      <c r="E22" s="90"/>
      <c r="F22" s="90"/>
      <c r="G22" s="90"/>
      <c r="H22" s="90"/>
      <c r="I22" s="68"/>
    </row>
    <row r="23" spans="1:10" s="78" customFormat="1" x14ac:dyDescent="0.25">
      <c r="A23" s="197"/>
      <c r="B23" s="199"/>
      <c r="C23" s="91">
        <f>ORÇAMENTO!I57</f>
        <v>0</v>
      </c>
      <c r="D23" s="91">
        <f>ROUND($C$23*D22,8)</f>
        <v>0</v>
      </c>
      <c r="E23" s="91"/>
      <c r="F23" s="91"/>
      <c r="G23" s="91"/>
      <c r="H23" s="91"/>
      <c r="I23" s="68">
        <f>SUM(D23:H23)</f>
        <v>0</v>
      </c>
    </row>
    <row r="24" spans="1:10" ht="15.75" customHeight="1" x14ac:dyDescent="0.25">
      <c r="A24" s="208"/>
      <c r="B24" s="209"/>
      <c r="C24" s="209"/>
      <c r="D24" s="209"/>
      <c r="E24" s="209"/>
      <c r="F24" s="209"/>
      <c r="G24" s="209"/>
      <c r="H24" s="210"/>
    </row>
    <row r="25" spans="1:10" ht="15.75" customHeight="1" x14ac:dyDescent="0.25">
      <c r="A25" s="200" t="s">
        <v>24</v>
      </c>
      <c r="B25" s="201"/>
      <c r="C25" s="81">
        <f>C9+C11+C13+C15+C17+C19+C21+C23</f>
        <v>0</v>
      </c>
      <c r="D25" s="82"/>
      <c r="E25" s="82"/>
      <c r="F25" s="82"/>
      <c r="G25" s="82"/>
      <c r="H25" s="167"/>
      <c r="I25" s="68">
        <f>SUM(I9:I23)</f>
        <v>2.5000022150504239E-3</v>
      </c>
    </row>
    <row r="26" spans="1:10" ht="15.75" customHeight="1" x14ac:dyDescent="0.25">
      <c r="A26" s="205"/>
      <c r="B26" s="206"/>
      <c r="C26" s="206"/>
      <c r="D26" s="206"/>
      <c r="E26" s="206"/>
      <c r="F26" s="206"/>
      <c r="G26" s="206"/>
      <c r="H26" s="207"/>
    </row>
    <row r="27" spans="1:10" ht="15.75" customHeight="1" x14ac:dyDescent="0.25">
      <c r="A27" s="202" t="s">
        <v>25</v>
      </c>
      <c r="B27" s="201"/>
      <c r="C27" s="203"/>
      <c r="D27" s="4">
        <f t="shared" ref="D27:H27" si="10">D9+D11+D13+D15+D17+D19+D21+D23</f>
        <v>0</v>
      </c>
      <c r="E27" s="4">
        <f t="shared" si="10"/>
        <v>0</v>
      </c>
      <c r="F27" s="4">
        <f t="shared" si="10"/>
        <v>0</v>
      </c>
      <c r="G27" s="4">
        <f t="shared" si="10"/>
        <v>0</v>
      </c>
      <c r="H27" s="168">
        <f t="shared" si="10"/>
        <v>0</v>
      </c>
      <c r="I27" s="68"/>
    </row>
    <row r="28" spans="1:10" ht="15.75" customHeight="1" x14ac:dyDescent="0.25">
      <c r="A28" s="204" t="s">
        <v>26</v>
      </c>
      <c r="B28" s="201"/>
      <c r="C28" s="203"/>
      <c r="D28" s="5" t="e">
        <f>D27/$C25</f>
        <v>#DIV/0!</v>
      </c>
      <c r="E28" s="5" t="e">
        <f t="shared" ref="E28:H28" si="11">E27/$C25</f>
        <v>#DIV/0!</v>
      </c>
      <c r="F28" s="5" t="e">
        <f t="shared" si="11"/>
        <v>#DIV/0!</v>
      </c>
      <c r="G28" s="5" t="e">
        <f t="shared" si="11"/>
        <v>#DIV/0!</v>
      </c>
      <c r="H28" s="169" t="e">
        <f t="shared" si="11"/>
        <v>#DIV/0!</v>
      </c>
      <c r="I28" s="88"/>
    </row>
    <row r="29" spans="1:10" ht="15.75" customHeight="1" x14ac:dyDescent="0.25">
      <c r="A29" s="202" t="s">
        <v>27</v>
      </c>
      <c r="B29" s="201"/>
      <c r="C29" s="203"/>
      <c r="D29" s="4">
        <f>D27</f>
        <v>0</v>
      </c>
      <c r="E29" s="4">
        <f>D29+E27</f>
        <v>0</v>
      </c>
      <c r="F29" s="4">
        <f>E29+F27</f>
        <v>0</v>
      </c>
      <c r="G29" s="4">
        <f>F29+G27</f>
        <v>0</v>
      </c>
      <c r="H29" s="168">
        <f>G29+H27</f>
        <v>0</v>
      </c>
      <c r="I29" s="68"/>
    </row>
    <row r="30" spans="1:10" ht="15.75" customHeight="1" x14ac:dyDescent="0.25">
      <c r="A30" s="193" t="s">
        <v>28</v>
      </c>
      <c r="B30" s="194"/>
      <c r="C30" s="195"/>
      <c r="D30" s="85" t="e">
        <f>D28</f>
        <v>#DIV/0!</v>
      </c>
      <c r="E30" s="85" t="e">
        <f>D30+E28</f>
        <v>#DIV/0!</v>
      </c>
      <c r="F30" s="85" t="e">
        <f>E30+F28</f>
        <v>#DIV/0!</v>
      </c>
      <c r="G30" s="85" t="e">
        <f t="shared" ref="G30:H30" si="12">F30+G28</f>
        <v>#DIV/0!</v>
      </c>
      <c r="H30" s="170" t="e">
        <f t="shared" si="12"/>
        <v>#DIV/0!</v>
      </c>
      <c r="I30" s="68"/>
    </row>
    <row r="31" spans="1:10" ht="15.75" customHeight="1" x14ac:dyDescent="0.25"/>
    <row r="32" spans="1:10" ht="15.75" customHeight="1" x14ac:dyDescent="0.25">
      <c r="D32" s="119"/>
      <c r="E32" s="119" t="e">
        <f>E28+$D28/4</f>
        <v>#DIV/0!</v>
      </c>
      <c r="F32" s="119" t="e">
        <f t="shared" ref="F32:J32" si="13">F28+$D28/4</f>
        <v>#DIV/0!</v>
      </c>
      <c r="G32" s="119" t="e">
        <f t="shared" si="13"/>
        <v>#DIV/0!</v>
      </c>
      <c r="H32" s="119" t="e">
        <f t="shared" si="13"/>
        <v>#DIV/0!</v>
      </c>
      <c r="I32" s="119" t="e">
        <f t="shared" si="13"/>
        <v>#DIV/0!</v>
      </c>
      <c r="J32" s="119" t="e">
        <f t="shared" si="13"/>
        <v>#DIV/0!</v>
      </c>
    </row>
    <row r="33" spans="3:8" ht="15.75" customHeight="1" x14ac:dyDescent="0.25">
      <c r="C33" s="68"/>
      <c r="D33" s="88"/>
      <c r="E33" s="88"/>
      <c r="F33" s="88"/>
      <c r="G33" s="88"/>
      <c r="H33" s="88"/>
    </row>
    <row r="34" spans="3:8" ht="15.75" customHeight="1" x14ac:dyDescent="0.25"/>
    <row r="35" spans="3:8" ht="15.75" customHeight="1" x14ac:dyDescent="0.25"/>
    <row r="36" spans="3:8" ht="15.75" customHeight="1" x14ac:dyDescent="0.25"/>
    <row r="37" spans="3:8" ht="15.75" customHeight="1" x14ac:dyDescent="0.25"/>
    <row r="38" spans="3:8" ht="15.75" customHeight="1" x14ac:dyDescent="0.25"/>
    <row r="39" spans="3:8" ht="15.75" customHeight="1" x14ac:dyDescent="0.25"/>
    <row r="40" spans="3:8" ht="15.75" customHeight="1" x14ac:dyDescent="0.25"/>
    <row r="41" spans="3:8" ht="15.75" customHeight="1" x14ac:dyDescent="0.25"/>
    <row r="42" spans="3:8" ht="15.75" customHeight="1" x14ac:dyDescent="0.25"/>
    <row r="43" spans="3:8" ht="15.75" customHeight="1" x14ac:dyDescent="0.25"/>
    <row r="44" spans="3:8" ht="15.75" customHeight="1" x14ac:dyDescent="0.25"/>
    <row r="45" spans="3:8" ht="15.75" customHeight="1" x14ac:dyDescent="0.25"/>
    <row r="46" spans="3:8" ht="15.75" customHeight="1" x14ac:dyDescent="0.25"/>
    <row r="47" spans="3:8" ht="15.75" customHeight="1" x14ac:dyDescent="0.25"/>
    <row r="48" spans="3: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2">
    <mergeCell ref="A18:A19"/>
    <mergeCell ref="B18:B19"/>
    <mergeCell ref="B22:B23"/>
    <mergeCell ref="D6:H6"/>
    <mergeCell ref="C6:C7"/>
    <mergeCell ref="A8:A9"/>
    <mergeCell ref="B8:B9"/>
    <mergeCell ref="A6:A7"/>
    <mergeCell ref="B6:B7"/>
    <mergeCell ref="A1:H1"/>
    <mergeCell ref="A2:H2"/>
    <mergeCell ref="A3:H3"/>
    <mergeCell ref="A4:H4"/>
    <mergeCell ref="A10:A11"/>
    <mergeCell ref="B10:B11"/>
    <mergeCell ref="B5:F5"/>
    <mergeCell ref="A30:C30"/>
    <mergeCell ref="A12:A13"/>
    <mergeCell ref="B12:B13"/>
    <mergeCell ref="A14:A15"/>
    <mergeCell ref="B14:B15"/>
    <mergeCell ref="A16:A17"/>
    <mergeCell ref="B16:B17"/>
    <mergeCell ref="A25:B25"/>
    <mergeCell ref="A27:C27"/>
    <mergeCell ref="A28:C28"/>
    <mergeCell ref="A29:C29"/>
    <mergeCell ref="A22:A23"/>
    <mergeCell ref="A26:H26"/>
    <mergeCell ref="A24:H24"/>
    <mergeCell ref="A20:A21"/>
    <mergeCell ref="B20:B21"/>
  </mergeCells>
  <printOptions horizontalCentered="1"/>
  <pageMargins left="0.39370078740157483" right="0.39370078740157483" top="0.39370078740157483" bottom="0.39370078740157483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V25"/>
  <sheetViews>
    <sheetView showGridLines="0" view="pageBreakPreview" zoomScale="160" zoomScaleNormal="100" zoomScaleSheetLayoutView="160" workbookViewId="0">
      <pane ySplit="8" topLeftCell="A9" activePane="bottomLeft" state="frozen"/>
      <selection pane="bottomLeft" activeCell="A5" sqref="A5"/>
    </sheetView>
  </sheetViews>
  <sheetFormatPr defaultRowHeight="12.75" x14ac:dyDescent="0.2"/>
  <cols>
    <col min="1" max="1" width="6.85546875" style="12" customWidth="1"/>
    <col min="2" max="2" width="3.140625" style="12" customWidth="1"/>
    <col min="3" max="11" width="3.28515625" style="12" customWidth="1"/>
    <col min="12" max="12" width="3.7109375" style="12" customWidth="1"/>
    <col min="13" max="14" width="3.28515625" style="12" customWidth="1"/>
    <col min="15" max="15" width="4.140625" style="12" customWidth="1"/>
    <col min="16" max="22" width="3.28515625" style="12" customWidth="1"/>
    <col min="23" max="23" width="3.7109375" style="12" customWidth="1"/>
    <col min="24" max="39" width="3.28515625" style="12" customWidth="1"/>
    <col min="40" max="40" width="15.7109375" style="12" customWidth="1"/>
    <col min="41" max="47" width="15.7109375" style="12" hidden="1" customWidth="1"/>
    <col min="48" max="48" width="15.7109375" style="12" customWidth="1"/>
    <col min="49" max="16384" width="9.140625" style="12"/>
  </cols>
  <sheetData>
    <row r="1" spans="1:47" ht="20.25" x14ac:dyDescent="0.2">
      <c r="A1" s="178" t="s">
        <v>127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80"/>
    </row>
    <row r="2" spans="1:47" ht="15.75" x14ac:dyDescent="0.2">
      <c r="A2" s="212" t="s">
        <v>128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3"/>
    </row>
    <row r="3" spans="1:47" ht="15" x14ac:dyDescent="0.2">
      <c r="A3" s="213" t="s">
        <v>129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6"/>
    </row>
    <row r="4" spans="1:47" ht="15" x14ac:dyDescent="0.2">
      <c r="A4" s="222" t="s">
        <v>209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4"/>
    </row>
    <row r="5" spans="1:47" ht="15" x14ac:dyDescent="0.2">
      <c r="A5" s="79" t="s">
        <v>130</v>
      </c>
      <c r="B5" s="192" t="s">
        <v>194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0" t="s">
        <v>131</v>
      </c>
      <c r="AI5" s="190"/>
      <c r="AJ5" s="190" t="s">
        <v>195</v>
      </c>
      <c r="AK5" s="190"/>
      <c r="AL5" s="190"/>
      <c r="AM5" s="190"/>
    </row>
    <row r="6" spans="1:47" hidden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6"/>
      <c r="AN6" s="17"/>
    </row>
    <row r="7" spans="1:47" hidden="1" x14ac:dyDescent="0.2">
      <c r="A7" s="18"/>
      <c r="B7" s="19"/>
      <c r="C7" s="19"/>
      <c r="D7" s="19"/>
      <c r="E7" s="19"/>
      <c r="F7" s="19"/>
      <c r="G7" s="19"/>
      <c r="H7" s="19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6"/>
      <c r="AN7" s="19"/>
    </row>
    <row r="8" spans="1:47" hidden="1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20"/>
      <c r="AN8" s="17"/>
    </row>
    <row r="9" spans="1:47" ht="12.75" customHeight="1" x14ac:dyDescent="0.2">
      <c r="A9" s="56" t="s">
        <v>43</v>
      </c>
      <c r="B9" s="57"/>
      <c r="C9" s="57"/>
      <c r="D9" s="57"/>
      <c r="E9" s="57"/>
      <c r="F9" s="57"/>
      <c r="G9" s="57"/>
      <c r="H9" s="57"/>
      <c r="I9" s="57"/>
      <c r="J9" s="227" t="s">
        <v>44</v>
      </c>
      <c r="K9" s="228"/>
      <c r="L9" s="228"/>
      <c r="M9" s="228"/>
      <c r="N9" s="228"/>
      <c r="O9" s="229"/>
      <c r="P9" s="233" t="s">
        <v>45</v>
      </c>
      <c r="Q9" s="234"/>
      <c r="R9" s="234"/>
      <c r="S9" s="234"/>
      <c r="T9" s="234"/>
      <c r="U9" s="234"/>
      <c r="V9" s="234"/>
      <c r="W9" s="234"/>
      <c r="X9" s="237" t="s">
        <v>46</v>
      </c>
      <c r="Y9" s="238"/>
      <c r="Z9" s="238"/>
      <c r="AA9" s="238"/>
      <c r="AB9" s="238"/>
      <c r="AC9" s="238"/>
      <c r="AD9" s="238"/>
      <c r="AE9" s="238"/>
      <c r="AF9" s="238"/>
      <c r="AG9" s="238"/>
      <c r="AH9" s="239"/>
      <c r="AI9" s="243">
        <f>IF(AO7=TRUE,0,(((1+V14+V12+V11)*(1+V13)*(1+V15))/(1-V16)))-1</f>
        <v>0.23997034600964118</v>
      </c>
      <c r="AJ9" s="244"/>
      <c r="AK9" s="244"/>
      <c r="AL9" s="244"/>
      <c r="AM9" s="245"/>
      <c r="AN9" s="21"/>
    </row>
    <row r="10" spans="1:47" x14ac:dyDescent="0.2">
      <c r="A10" s="58"/>
      <c r="B10" s="59"/>
      <c r="C10" s="59"/>
      <c r="D10" s="59"/>
      <c r="E10" s="59"/>
      <c r="F10" s="59"/>
      <c r="G10" s="59"/>
      <c r="H10" s="59"/>
      <c r="I10" s="59"/>
      <c r="J10" s="230"/>
      <c r="K10" s="231"/>
      <c r="L10" s="231"/>
      <c r="M10" s="231"/>
      <c r="N10" s="231"/>
      <c r="O10" s="232"/>
      <c r="P10" s="235"/>
      <c r="Q10" s="236"/>
      <c r="R10" s="236"/>
      <c r="S10" s="236"/>
      <c r="T10" s="236"/>
      <c r="U10" s="236"/>
      <c r="V10" s="236"/>
      <c r="W10" s="236"/>
      <c r="X10" s="240"/>
      <c r="Y10" s="241"/>
      <c r="Z10" s="241"/>
      <c r="AA10" s="241"/>
      <c r="AB10" s="241"/>
      <c r="AC10" s="241"/>
      <c r="AD10" s="241"/>
      <c r="AE10" s="241"/>
      <c r="AF10" s="241"/>
      <c r="AG10" s="241"/>
      <c r="AH10" s="242"/>
      <c r="AI10" s="246"/>
      <c r="AJ10" s="247"/>
      <c r="AK10" s="247"/>
      <c r="AL10" s="247"/>
      <c r="AM10" s="248"/>
      <c r="AN10" s="21"/>
      <c r="AO10" s="249" t="s">
        <v>47</v>
      </c>
      <c r="AP10" s="249"/>
      <c r="AQ10" s="249" t="s">
        <v>48</v>
      </c>
      <c r="AR10" s="249" t="s">
        <v>49</v>
      </c>
      <c r="AS10" s="249"/>
      <c r="AT10" s="22" t="s">
        <v>50</v>
      </c>
      <c r="AU10" s="250" t="s">
        <v>51</v>
      </c>
    </row>
    <row r="11" spans="1:47" x14ac:dyDescent="0.2">
      <c r="A11" s="23" t="s">
        <v>52</v>
      </c>
      <c r="B11" s="24"/>
      <c r="C11" s="24"/>
      <c r="D11" s="24"/>
      <c r="E11" s="24"/>
      <c r="F11" s="24"/>
      <c r="G11" s="24"/>
      <c r="H11" s="24"/>
      <c r="I11" s="24"/>
      <c r="J11" s="25" t="s">
        <v>53</v>
      </c>
      <c r="K11" s="252">
        <v>8.0000000000000002E-3</v>
      </c>
      <c r="L11" s="253"/>
      <c r="M11" s="26" t="s">
        <v>54</v>
      </c>
      <c r="N11" s="252">
        <v>0.01</v>
      </c>
      <c r="O11" s="254"/>
      <c r="P11" s="27" t="s">
        <v>55</v>
      </c>
      <c r="Q11" s="28"/>
      <c r="R11" s="28"/>
      <c r="S11" s="28"/>
      <c r="T11" s="28"/>
      <c r="U11" s="28"/>
      <c r="V11" s="255">
        <v>0.01</v>
      </c>
      <c r="W11" s="256"/>
      <c r="X11" s="257" t="s">
        <v>56</v>
      </c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9"/>
      <c r="AN11" s="29"/>
      <c r="AO11" s="22"/>
      <c r="AP11" s="22" t="s">
        <v>57</v>
      </c>
      <c r="AQ11" s="249"/>
      <c r="AR11" s="22" t="s">
        <v>58</v>
      </c>
      <c r="AS11" s="22"/>
      <c r="AT11" s="22"/>
      <c r="AU11" s="251"/>
    </row>
    <row r="12" spans="1:47" x14ac:dyDescent="0.2">
      <c r="A12" s="30" t="s">
        <v>59</v>
      </c>
      <c r="B12" s="31"/>
      <c r="C12" s="31"/>
      <c r="D12" s="31"/>
      <c r="E12" s="31"/>
      <c r="F12" s="31"/>
      <c r="G12" s="31"/>
      <c r="H12" s="31"/>
      <c r="I12" s="31"/>
      <c r="J12" s="32" t="s">
        <v>53</v>
      </c>
      <c r="K12" s="265">
        <v>9.7000000000000003E-3</v>
      </c>
      <c r="L12" s="266"/>
      <c r="M12" s="33" t="s">
        <v>54</v>
      </c>
      <c r="N12" s="265">
        <v>1.2699999999999999E-2</v>
      </c>
      <c r="O12" s="267"/>
      <c r="P12" s="34" t="s">
        <v>60</v>
      </c>
      <c r="Q12" s="35"/>
      <c r="R12" s="35"/>
      <c r="S12" s="35"/>
      <c r="T12" s="35"/>
      <c r="U12" s="35"/>
      <c r="V12" s="255">
        <v>1.2699999999999999E-2</v>
      </c>
      <c r="W12" s="256"/>
      <c r="X12" s="260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1"/>
      <c r="AK12" s="261"/>
      <c r="AL12" s="261"/>
      <c r="AM12" s="262"/>
      <c r="AN12" s="29"/>
      <c r="AO12" s="21">
        <f t="shared" ref="AO12:AO17" si="0">K11</f>
        <v>8.0000000000000002E-3</v>
      </c>
      <c r="AP12" s="21">
        <f>AO12+AU12</f>
        <v>8.5000000000000006E-3</v>
      </c>
      <c r="AQ12" s="36">
        <f>AVERAGE(K11,N11)</f>
        <v>9.0000000000000011E-3</v>
      </c>
      <c r="AR12" s="21">
        <f>AS12-AU12</f>
        <v>9.4999999999999998E-3</v>
      </c>
      <c r="AS12" s="37">
        <f>N11</f>
        <v>0.01</v>
      </c>
      <c r="AT12" s="21">
        <f t="shared" ref="AT12:AT17" si="1">STDEV(AO12,AQ12,AS12)</f>
        <v>1E-3</v>
      </c>
      <c r="AU12" s="37">
        <f t="shared" ref="AU12:AU17" si="2">AT12/2</f>
        <v>5.0000000000000001E-4</v>
      </c>
    </row>
    <row r="13" spans="1:47" x14ac:dyDescent="0.2">
      <c r="A13" s="30" t="s">
        <v>61</v>
      </c>
      <c r="B13" s="31"/>
      <c r="C13" s="31"/>
      <c r="D13" s="31"/>
      <c r="E13" s="31"/>
      <c r="F13" s="31"/>
      <c r="G13" s="31"/>
      <c r="H13" s="31"/>
      <c r="I13" s="31"/>
      <c r="J13" s="32" t="s">
        <v>53</v>
      </c>
      <c r="K13" s="265">
        <v>5.8999999999999999E-3</v>
      </c>
      <c r="L13" s="266"/>
      <c r="M13" s="33" t="s">
        <v>54</v>
      </c>
      <c r="N13" s="265">
        <v>1.3899999999999999E-2</v>
      </c>
      <c r="O13" s="267"/>
      <c r="P13" s="34" t="s">
        <v>62</v>
      </c>
      <c r="Q13" s="35"/>
      <c r="R13" s="35"/>
      <c r="S13" s="35"/>
      <c r="T13" s="35"/>
      <c r="U13" s="35"/>
      <c r="V13" s="255">
        <v>0.01</v>
      </c>
      <c r="W13" s="256"/>
      <c r="X13" s="260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2"/>
      <c r="AN13" s="29"/>
      <c r="AO13" s="21">
        <f t="shared" si="0"/>
        <v>9.7000000000000003E-3</v>
      </c>
      <c r="AP13" s="21">
        <f>AO13+AU13</f>
        <v>1.0450000000000001E-2</v>
      </c>
      <c r="AQ13" s="36">
        <f>AVERAGE(K12,N12)</f>
        <v>1.12E-2</v>
      </c>
      <c r="AR13" s="21">
        <f>AS13-AU13</f>
        <v>1.1949999999999999E-2</v>
      </c>
      <c r="AS13" s="37">
        <f>N12</f>
        <v>1.2699999999999999E-2</v>
      </c>
      <c r="AT13" s="21">
        <f t="shared" si="1"/>
        <v>1.4999999999999996E-3</v>
      </c>
      <c r="AU13" s="37">
        <f t="shared" si="2"/>
        <v>7.499999999999998E-4</v>
      </c>
    </row>
    <row r="14" spans="1:47" x14ac:dyDescent="0.2">
      <c r="A14" s="30" t="s">
        <v>63</v>
      </c>
      <c r="B14" s="31"/>
      <c r="C14" s="31"/>
      <c r="D14" s="31"/>
      <c r="E14" s="31"/>
      <c r="F14" s="31"/>
      <c r="G14" s="31"/>
      <c r="H14" s="31"/>
      <c r="I14" s="31"/>
      <c r="J14" s="32" t="s">
        <v>53</v>
      </c>
      <c r="K14" s="265">
        <v>0.03</v>
      </c>
      <c r="L14" s="266"/>
      <c r="M14" s="33" t="s">
        <v>54</v>
      </c>
      <c r="N14" s="265">
        <v>5.5E-2</v>
      </c>
      <c r="O14" s="267"/>
      <c r="P14" s="34" t="s">
        <v>64</v>
      </c>
      <c r="Q14" s="35"/>
      <c r="R14" s="35"/>
      <c r="S14" s="35"/>
      <c r="T14" s="35"/>
      <c r="U14" s="35"/>
      <c r="V14" s="255">
        <v>4.2799999999999998E-2</v>
      </c>
      <c r="W14" s="256"/>
      <c r="X14" s="260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1"/>
      <c r="AL14" s="261"/>
      <c r="AM14" s="262"/>
      <c r="AN14" s="29"/>
      <c r="AO14" s="21">
        <f t="shared" si="0"/>
        <v>5.8999999999999999E-3</v>
      </c>
      <c r="AP14" s="21">
        <f>AO14+AU14</f>
        <v>7.899999999999999E-3</v>
      </c>
      <c r="AQ14" s="36">
        <f>AVERAGE(K13,N13)</f>
        <v>9.8999999999999991E-3</v>
      </c>
      <c r="AR14" s="21">
        <f>AS14-AU14</f>
        <v>1.1900000000000001E-2</v>
      </c>
      <c r="AS14" s="37">
        <f>N13</f>
        <v>1.3899999999999999E-2</v>
      </c>
      <c r="AT14" s="21">
        <f t="shared" si="1"/>
        <v>3.9999999999999975E-3</v>
      </c>
      <c r="AU14" s="37">
        <f t="shared" si="2"/>
        <v>1.9999999999999987E-3</v>
      </c>
    </row>
    <row r="15" spans="1:47" x14ac:dyDescent="0.2">
      <c r="A15" s="30" t="s">
        <v>65</v>
      </c>
      <c r="B15" s="31"/>
      <c r="C15" s="31"/>
      <c r="D15" s="31"/>
      <c r="E15" s="31"/>
      <c r="F15" s="31"/>
      <c r="G15" s="31"/>
      <c r="H15" s="31"/>
      <c r="I15" s="31"/>
      <c r="J15" s="32" t="s">
        <v>53</v>
      </c>
      <c r="K15" s="265">
        <v>6.1600000000000002E-2</v>
      </c>
      <c r="L15" s="266"/>
      <c r="M15" s="33" t="s">
        <v>54</v>
      </c>
      <c r="N15" s="265">
        <v>8.9599999999999999E-2</v>
      </c>
      <c r="O15" s="267"/>
      <c r="P15" s="35" t="s">
        <v>66</v>
      </c>
      <c r="Q15" s="35"/>
      <c r="R15" s="35"/>
      <c r="S15" s="35"/>
      <c r="T15" s="35"/>
      <c r="U15" s="35"/>
      <c r="V15" s="255">
        <f>AVERAGE(K15,N15)</f>
        <v>7.5600000000000001E-2</v>
      </c>
      <c r="W15" s="256"/>
      <c r="X15" s="260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2"/>
      <c r="AN15" s="29"/>
      <c r="AO15" s="21">
        <f t="shared" si="0"/>
        <v>0.03</v>
      </c>
      <c r="AP15" s="21">
        <f>AO15+AU15</f>
        <v>3.6249999999999991E-2</v>
      </c>
      <c r="AQ15" s="36">
        <f>AVERAGE(K14,N14)</f>
        <v>4.2499999999999996E-2</v>
      </c>
      <c r="AR15" s="21">
        <f>AS15-AU15</f>
        <v>4.8750000000000009E-2</v>
      </c>
      <c r="AS15" s="37">
        <f>N14</f>
        <v>5.5E-2</v>
      </c>
      <c r="AT15" s="21">
        <f t="shared" si="1"/>
        <v>1.2499999999999989E-2</v>
      </c>
      <c r="AU15" s="37">
        <f t="shared" si="2"/>
        <v>6.2499999999999943E-3</v>
      </c>
    </row>
    <row r="16" spans="1:47" x14ac:dyDescent="0.2">
      <c r="A16" s="38" t="s">
        <v>67</v>
      </c>
      <c r="B16" s="39"/>
      <c r="C16" s="39"/>
      <c r="D16" s="39"/>
      <c r="E16" s="39"/>
      <c r="F16" s="39"/>
      <c r="G16" s="39"/>
      <c r="H16" s="39"/>
      <c r="I16" s="39"/>
      <c r="J16" s="40" t="s">
        <v>53</v>
      </c>
      <c r="K16" s="268">
        <v>6.6500000000000004E-2</v>
      </c>
      <c r="L16" s="269"/>
      <c r="M16" s="41" t="s">
        <v>54</v>
      </c>
      <c r="N16" s="268">
        <v>0.13150000000000001</v>
      </c>
      <c r="O16" s="269"/>
      <c r="P16" s="42" t="s">
        <v>68</v>
      </c>
      <c r="Q16" s="42"/>
      <c r="R16" s="42"/>
      <c r="S16" s="42"/>
      <c r="T16" s="42"/>
      <c r="U16" s="42"/>
      <c r="V16" s="270">
        <f>G21+N21+U21+AB21</f>
        <v>6.6500000000000004E-2</v>
      </c>
      <c r="W16" s="271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263"/>
      <c r="AL16" s="263"/>
      <c r="AM16" s="264"/>
      <c r="AN16" s="29"/>
      <c r="AO16" s="21">
        <f t="shared" si="0"/>
        <v>6.1600000000000002E-2</v>
      </c>
      <c r="AP16" s="21">
        <f>AO16+AU16</f>
        <v>6.8599999999999967E-2</v>
      </c>
      <c r="AQ16" s="36">
        <f>AVERAGE(K15,N15)</f>
        <v>7.5600000000000001E-2</v>
      </c>
      <c r="AR16" s="21">
        <f>AS16-AU16</f>
        <v>8.2600000000000035E-2</v>
      </c>
      <c r="AS16" s="37">
        <f>N15</f>
        <v>8.9599999999999999E-2</v>
      </c>
      <c r="AT16" s="21">
        <f t="shared" si="1"/>
        <v>1.3999999999999938E-2</v>
      </c>
      <c r="AU16" s="37">
        <f t="shared" si="2"/>
        <v>6.9999999999999689E-3</v>
      </c>
    </row>
    <row r="17" spans="1:48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43"/>
      <c r="AD17" s="17"/>
      <c r="AE17" s="17"/>
      <c r="AF17" s="17"/>
      <c r="AG17" s="17"/>
      <c r="AH17" s="17"/>
      <c r="AI17" s="17"/>
      <c r="AJ17" s="17"/>
      <c r="AK17" s="17"/>
      <c r="AL17" s="17"/>
      <c r="AM17" s="20"/>
      <c r="AN17" s="17"/>
      <c r="AO17" s="21">
        <f t="shared" si="0"/>
        <v>6.6500000000000004E-2</v>
      </c>
      <c r="AP17" s="21">
        <v>5.6499999999999995E-2</v>
      </c>
      <c r="AQ17" s="21">
        <v>5.6499999999999995E-2</v>
      </c>
      <c r="AR17" s="21">
        <v>5.6499999999999995E-2</v>
      </c>
      <c r="AS17" s="21">
        <v>5.6499999999999995E-2</v>
      </c>
      <c r="AT17" s="21">
        <f t="shared" si="1"/>
        <v>5.7735026918962623E-3</v>
      </c>
      <c r="AU17" s="37">
        <f t="shared" si="2"/>
        <v>2.8867513459481312E-3</v>
      </c>
    </row>
    <row r="18" spans="1:48" x14ac:dyDescent="0.2">
      <c r="A18" s="18" t="s">
        <v>69</v>
      </c>
      <c r="B18" s="19"/>
      <c r="C18" s="19"/>
      <c r="D18" s="19"/>
      <c r="E18" s="19"/>
      <c r="F18" s="19"/>
      <c r="G18" s="19"/>
      <c r="H18" s="19"/>
      <c r="I18" s="19"/>
      <c r="J18" s="19"/>
      <c r="K18" s="17"/>
      <c r="L18" s="17"/>
      <c r="M18" s="17"/>
      <c r="N18" s="17"/>
      <c r="O18" s="17"/>
      <c r="P18" s="17"/>
      <c r="Q18" s="17"/>
      <c r="R18" s="17"/>
      <c r="S18" s="19"/>
      <c r="T18" s="17"/>
      <c r="U18" s="17"/>
      <c r="V18" s="17"/>
      <c r="W18" s="17"/>
      <c r="X18" s="17"/>
      <c r="Y18" s="17"/>
      <c r="Z18" s="44" t="s">
        <v>70</v>
      </c>
      <c r="AA18" s="17"/>
      <c r="AB18" s="17"/>
      <c r="AC18" s="17" t="s">
        <v>71</v>
      </c>
      <c r="AD18" s="17"/>
      <c r="AE18" s="17"/>
      <c r="AF18" s="17"/>
      <c r="AG18" s="17"/>
      <c r="AH18" s="17"/>
      <c r="AI18" s="17"/>
      <c r="AJ18" s="17"/>
      <c r="AK18" s="17"/>
      <c r="AL18" s="17"/>
      <c r="AM18" s="20"/>
      <c r="AN18" s="17"/>
      <c r="AO18" s="21"/>
      <c r="AQ18" s="21"/>
    </row>
    <row r="19" spans="1:48" x14ac:dyDescent="0.2">
      <c r="A19" s="18"/>
      <c r="B19" s="19"/>
      <c r="C19" s="19"/>
      <c r="D19" s="19"/>
      <c r="E19" s="19"/>
      <c r="F19" s="227" t="s">
        <v>44</v>
      </c>
      <c r="G19" s="228"/>
      <c r="H19" s="228"/>
      <c r="I19" s="228"/>
      <c r="J19" s="228"/>
      <c r="K19" s="229"/>
      <c r="L19" s="17"/>
      <c r="M19" s="227" t="s">
        <v>44</v>
      </c>
      <c r="N19" s="228"/>
      <c r="O19" s="228"/>
      <c r="P19" s="228"/>
      <c r="Q19" s="228"/>
      <c r="R19" s="229"/>
      <c r="S19" s="17"/>
      <c r="T19" s="227" t="s">
        <v>44</v>
      </c>
      <c r="U19" s="228"/>
      <c r="V19" s="228"/>
      <c r="W19" s="228"/>
      <c r="X19" s="228"/>
      <c r="Y19" s="229"/>
      <c r="Z19" s="17"/>
      <c r="AA19" s="227" t="s">
        <v>44</v>
      </c>
      <c r="AB19" s="228"/>
      <c r="AC19" s="228"/>
      <c r="AD19" s="228"/>
      <c r="AE19" s="228"/>
      <c r="AF19" s="229"/>
      <c r="AG19" s="17"/>
      <c r="AH19" s="17"/>
      <c r="AI19" s="17"/>
      <c r="AJ19" s="17"/>
      <c r="AK19" s="17"/>
      <c r="AL19" s="17"/>
      <c r="AM19" s="20"/>
      <c r="AN19" s="17"/>
      <c r="AO19" s="21"/>
      <c r="AQ19" s="21"/>
    </row>
    <row r="20" spans="1:48" ht="15" x14ac:dyDescent="0.25">
      <c r="A20" s="18"/>
      <c r="B20" s="19"/>
      <c r="C20" s="19"/>
      <c r="D20" s="19"/>
      <c r="E20" s="19"/>
      <c r="F20" s="230"/>
      <c r="G20" s="231"/>
      <c r="H20" s="231"/>
      <c r="I20" s="231"/>
      <c r="J20" s="231"/>
      <c r="K20" s="232"/>
      <c r="L20" s="17"/>
      <c r="M20" s="230"/>
      <c r="N20" s="231"/>
      <c r="O20" s="231"/>
      <c r="P20" s="231"/>
      <c r="Q20" s="231"/>
      <c r="R20" s="232"/>
      <c r="S20" s="17"/>
      <c r="T20" s="230"/>
      <c r="U20" s="231"/>
      <c r="V20" s="231"/>
      <c r="W20" s="231"/>
      <c r="X20" s="231"/>
      <c r="Y20" s="232"/>
      <c r="Z20" s="17"/>
      <c r="AA20" s="230"/>
      <c r="AB20" s="231"/>
      <c r="AC20" s="231"/>
      <c r="AD20" s="231"/>
      <c r="AE20" s="231"/>
      <c r="AF20" s="232"/>
      <c r="AG20" s="17"/>
      <c r="AH20" s="17"/>
      <c r="AI20" s="17"/>
      <c r="AJ20" s="17"/>
      <c r="AK20" s="17"/>
      <c r="AL20" s="17"/>
      <c r="AM20" s="20"/>
      <c r="AN20" s="17"/>
      <c r="AO20" s="21"/>
      <c r="AQ20" s="21"/>
      <c r="AV20"/>
    </row>
    <row r="21" spans="1:48" x14ac:dyDescent="0.2">
      <c r="A21" s="18"/>
      <c r="B21" s="19"/>
      <c r="C21" s="19"/>
      <c r="D21" s="19"/>
      <c r="E21" s="19"/>
      <c r="F21" s="45" t="s">
        <v>53</v>
      </c>
      <c r="G21" s="272">
        <v>0.03</v>
      </c>
      <c r="H21" s="272"/>
      <c r="I21" s="46"/>
      <c r="J21" s="272"/>
      <c r="K21" s="273"/>
      <c r="L21" s="17"/>
      <c r="M21" s="45" t="s">
        <v>53</v>
      </c>
      <c r="N21" s="272">
        <v>6.4999999999999997E-3</v>
      </c>
      <c r="O21" s="272"/>
      <c r="P21" s="46"/>
      <c r="Q21" s="272"/>
      <c r="R21" s="273"/>
      <c r="S21" s="17"/>
      <c r="T21" s="45" t="s">
        <v>53</v>
      </c>
      <c r="U21" s="272">
        <v>0.03</v>
      </c>
      <c r="V21" s="272"/>
      <c r="W21" s="46"/>
      <c r="X21" s="272"/>
      <c r="Y21" s="273"/>
      <c r="Z21" s="17"/>
      <c r="AA21" s="45" t="s">
        <v>53</v>
      </c>
      <c r="AB21" s="272">
        <v>0</v>
      </c>
      <c r="AC21" s="272"/>
      <c r="AD21" s="46"/>
      <c r="AE21" s="272"/>
      <c r="AF21" s="273"/>
      <c r="AG21" s="17"/>
      <c r="AH21" s="17"/>
      <c r="AI21" s="17"/>
      <c r="AJ21" s="17"/>
      <c r="AK21" s="17"/>
      <c r="AL21" s="17"/>
      <c r="AM21" s="20"/>
      <c r="AN21" s="17"/>
      <c r="AO21" s="21"/>
      <c r="AQ21" s="21"/>
    </row>
    <row r="22" spans="1:48" x14ac:dyDescent="0.2">
      <c r="A22" s="18"/>
      <c r="B22" s="19"/>
      <c r="C22" s="19"/>
      <c r="D22" s="19"/>
      <c r="E22" s="19"/>
      <c r="F22" s="47"/>
      <c r="G22" s="48"/>
      <c r="H22" s="48"/>
      <c r="I22" s="44"/>
      <c r="J22" s="48"/>
      <c r="K22" s="48"/>
      <c r="L22" s="17"/>
      <c r="M22" s="47"/>
      <c r="N22" s="48"/>
      <c r="O22" s="48"/>
      <c r="P22" s="44"/>
      <c r="Q22" s="48"/>
      <c r="R22" s="48"/>
      <c r="S22" s="17"/>
      <c r="T22" s="47"/>
      <c r="U22" s="48"/>
      <c r="V22" s="48"/>
      <c r="W22" s="44"/>
      <c r="X22" s="48"/>
      <c r="Y22" s="48"/>
      <c r="Z22" s="17"/>
      <c r="AA22" s="47"/>
      <c r="AB22" s="48"/>
      <c r="AC22" s="48"/>
      <c r="AD22" s="44"/>
      <c r="AE22" s="48"/>
      <c r="AF22" s="48"/>
      <c r="AG22" s="17"/>
      <c r="AH22" s="17"/>
      <c r="AI22" s="17"/>
      <c r="AJ22" s="17"/>
      <c r="AK22" s="17"/>
      <c r="AL22" s="17"/>
      <c r="AM22" s="20"/>
      <c r="AN22" s="17"/>
      <c r="AO22" s="21"/>
      <c r="AQ22" s="21"/>
    </row>
    <row r="23" spans="1:48" x14ac:dyDescent="0.2">
      <c r="A23" s="274" t="s">
        <v>72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0"/>
      <c r="AN23" s="17"/>
      <c r="AO23" s="21"/>
    </row>
    <row r="24" spans="1:48" x14ac:dyDescent="0.2">
      <c r="A24" s="18" t="s">
        <v>73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17"/>
      <c r="AO24" s="21"/>
    </row>
    <row r="25" spans="1:48" x14ac:dyDescent="0.2">
      <c r="A25" s="49" t="s">
        <v>74</v>
      </c>
      <c r="B25" s="50"/>
      <c r="C25" s="50"/>
      <c r="D25" s="50"/>
      <c r="E25" s="50"/>
      <c r="F25" s="51"/>
      <c r="G25" s="52"/>
      <c r="H25" s="52"/>
      <c r="I25" s="53"/>
      <c r="J25" s="52"/>
      <c r="K25" s="52"/>
      <c r="L25" s="54"/>
      <c r="M25" s="51"/>
      <c r="N25" s="52"/>
      <c r="O25" s="52"/>
      <c r="P25" s="53"/>
      <c r="Q25" s="52"/>
      <c r="R25" s="52"/>
      <c r="S25" s="54"/>
      <c r="T25" s="51"/>
      <c r="U25" s="52"/>
      <c r="V25" s="52"/>
      <c r="W25" s="53"/>
      <c r="X25" s="52"/>
      <c r="Y25" s="52"/>
      <c r="Z25" s="54"/>
      <c r="AA25" s="51"/>
      <c r="AB25" s="52"/>
      <c r="AC25" s="52"/>
      <c r="AD25" s="53"/>
      <c r="AE25" s="52"/>
      <c r="AF25" s="52"/>
      <c r="AG25" s="54"/>
      <c r="AH25" s="54"/>
      <c r="AI25" s="54"/>
      <c r="AJ25" s="54"/>
      <c r="AK25" s="54"/>
      <c r="AL25" s="54"/>
      <c r="AM25" s="55"/>
      <c r="AN25" s="17"/>
    </row>
  </sheetData>
  <mergeCells count="48"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  <mergeCell ref="A1:AM1"/>
    <mergeCell ref="A2:AM2"/>
    <mergeCell ref="A3:AM3"/>
    <mergeCell ref="A4:AM4"/>
    <mergeCell ref="B5:AG5"/>
    <mergeCell ref="AH5:AI5"/>
    <mergeCell ref="AJ5:AM5"/>
  </mergeCells>
  <printOptions horizontalCentered="1"/>
  <pageMargins left="0.39370078740157483" right="0.39370078740157483" top="0.39370078740157483" bottom="0.39370078740157483" header="0" footer="0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AU25"/>
  <sheetViews>
    <sheetView showGridLines="0" view="pageBreakPreview" zoomScale="130" zoomScaleNormal="100" zoomScaleSheetLayoutView="130" workbookViewId="0">
      <pane ySplit="8" topLeftCell="A9" activePane="bottomLeft" state="frozen"/>
      <selection pane="bottomLeft" activeCell="AN16" sqref="AN16"/>
    </sheetView>
  </sheetViews>
  <sheetFormatPr defaultRowHeight="12.75" x14ac:dyDescent="0.2"/>
  <cols>
    <col min="1" max="1" width="6.42578125" style="12" customWidth="1"/>
    <col min="2" max="2" width="3.140625" style="12" customWidth="1"/>
    <col min="3" max="11" width="3.28515625" style="12" customWidth="1"/>
    <col min="12" max="12" width="3.7109375" style="12" customWidth="1"/>
    <col min="13" max="14" width="3.28515625" style="12" customWidth="1"/>
    <col min="15" max="15" width="4.140625" style="12" customWidth="1"/>
    <col min="16" max="22" width="3.28515625" style="12" customWidth="1"/>
    <col min="23" max="23" width="3.7109375" style="12" customWidth="1"/>
    <col min="24" max="39" width="3.28515625" style="12" customWidth="1"/>
    <col min="40" max="40" width="15.7109375" style="12" customWidth="1"/>
    <col min="41" max="47" width="15.7109375" style="12" hidden="1" customWidth="1"/>
    <col min="48" max="48" width="15.7109375" style="12" customWidth="1"/>
    <col min="49" max="16384" width="9.140625" style="12"/>
  </cols>
  <sheetData>
    <row r="1" spans="1:47" ht="20.25" x14ac:dyDescent="0.2">
      <c r="A1" s="178" t="s">
        <v>127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80"/>
    </row>
    <row r="2" spans="1:47" ht="15.75" x14ac:dyDescent="0.2">
      <c r="A2" s="212" t="s">
        <v>128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3"/>
    </row>
    <row r="3" spans="1:47" ht="15" x14ac:dyDescent="0.2">
      <c r="A3" s="213" t="s">
        <v>129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6"/>
    </row>
    <row r="4" spans="1:47" ht="13.5" x14ac:dyDescent="0.2">
      <c r="A4" s="275" t="s">
        <v>210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7"/>
    </row>
    <row r="5" spans="1:47" ht="15" x14ac:dyDescent="0.2">
      <c r="A5" s="79" t="s">
        <v>130</v>
      </c>
      <c r="B5" s="192" t="s">
        <v>194</v>
      </c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0" t="s">
        <v>131</v>
      </c>
      <c r="AI5" s="190"/>
      <c r="AJ5" s="190" t="s">
        <v>195</v>
      </c>
      <c r="AK5" s="190"/>
      <c r="AL5" s="190"/>
      <c r="AM5" s="190"/>
    </row>
    <row r="6" spans="1:47" hidden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6"/>
      <c r="AN6" s="17"/>
    </row>
    <row r="7" spans="1:47" hidden="1" x14ac:dyDescent="0.2">
      <c r="A7" s="18"/>
      <c r="B7" s="19"/>
      <c r="C7" s="19"/>
      <c r="D7" s="19"/>
      <c r="E7" s="19"/>
      <c r="F7" s="19"/>
      <c r="G7" s="19"/>
      <c r="H7" s="19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6"/>
      <c r="AN7" s="19"/>
    </row>
    <row r="8" spans="1:47" hidden="1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20"/>
      <c r="AN8" s="17"/>
    </row>
    <row r="9" spans="1:47" ht="12.75" customHeight="1" x14ac:dyDescent="0.2">
      <c r="A9" s="56" t="s">
        <v>43</v>
      </c>
      <c r="B9" s="57"/>
      <c r="C9" s="57"/>
      <c r="D9" s="57"/>
      <c r="E9" s="57"/>
      <c r="F9" s="57"/>
      <c r="G9" s="57"/>
      <c r="H9" s="57"/>
      <c r="I9" s="57"/>
      <c r="J9" s="227" t="s">
        <v>44</v>
      </c>
      <c r="K9" s="228"/>
      <c r="L9" s="228"/>
      <c r="M9" s="228"/>
      <c r="N9" s="228"/>
      <c r="O9" s="229"/>
      <c r="P9" s="233" t="s">
        <v>45</v>
      </c>
      <c r="Q9" s="234"/>
      <c r="R9" s="234"/>
      <c r="S9" s="234"/>
      <c r="T9" s="234"/>
      <c r="U9" s="234"/>
      <c r="V9" s="234"/>
      <c r="W9" s="234"/>
      <c r="X9" s="237" t="s">
        <v>46</v>
      </c>
      <c r="Y9" s="238"/>
      <c r="Z9" s="238"/>
      <c r="AA9" s="238"/>
      <c r="AB9" s="238"/>
      <c r="AC9" s="238"/>
      <c r="AD9" s="238"/>
      <c r="AE9" s="238"/>
      <c r="AF9" s="238"/>
      <c r="AG9" s="238"/>
      <c r="AH9" s="239"/>
      <c r="AI9" s="243">
        <f>IF(AO7=TRUE,0,(((1+V14+V12+V11)*(1+V13)*(1+V15))/(1-V16)))-1</f>
        <v>0.15999110198131761</v>
      </c>
      <c r="AJ9" s="244"/>
      <c r="AK9" s="244"/>
      <c r="AL9" s="244"/>
      <c r="AM9" s="245"/>
      <c r="AN9" s="21"/>
    </row>
    <row r="10" spans="1:47" x14ac:dyDescent="0.2">
      <c r="A10" s="58"/>
      <c r="B10" s="59"/>
      <c r="C10" s="59"/>
      <c r="D10" s="59"/>
      <c r="E10" s="59"/>
      <c r="F10" s="59"/>
      <c r="G10" s="59"/>
      <c r="H10" s="59"/>
      <c r="I10" s="59"/>
      <c r="J10" s="230"/>
      <c r="K10" s="231"/>
      <c r="L10" s="231"/>
      <c r="M10" s="231"/>
      <c r="N10" s="231"/>
      <c r="O10" s="232"/>
      <c r="P10" s="235"/>
      <c r="Q10" s="236"/>
      <c r="R10" s="236"/>
      <c r="S10" s="236"/>
      <c r="T10" s="236"/>
      <c r="U10" s="236"/>
      <c r="V10" s="236"/>
      <c r="W10" s="236"/>
      <c r="X10" s="240"/>
      <c r="Y10" s="241"/>
      <c r="Z10" s="241"/>
      <c r="AA10" s="241"/>
      <c r="AB10" s="241"/>
      <c r="AC10" s="241"/>
      <c r="AD10" s="241"/>
      <c r="AE10" s="241"/>
      <c r="AF10" s="241"/>
      <c r="AG10" s="241"/>
      <c r="AH10" s="242"/>
      <c r="AI10" s="246"/>
      <c r="AJ10" s="247"/>
      <c r="AK10" s="247"/>
      <c r="AL10" s="247"/>
      <c r="AM10" s="248"/>
      <c r="AN10" s="21"/>
      <c r="AO10" s="249" t="s">
        <v>47</v>
      </c>
      <c r="AP10" s="249"/>
      <c r="AQ10" s="249" t="s">
        <v>48</v>
      </c>
      <c r="AR10" s="249" t="s">
        <v>49</v>
      </c>
      <c r="AS10" s="249"/>
      <c r="AT10" s="22" t="s">
        <v>50</v>
      </c>
      <c r="AU10" s="250" t="s">
        <v>51</v>
      </c>
    </row>
    <row r="11" spans="1:47" x14ac:dyDescent="0.2">
      <c r="A11" s="23" t="s">
        <v>52</v>
      </c>
      <c r="B11" s="24"/>
      <c r="C11" s="24"/>
      <c r="D11" s="24"/>
      <c r="E11" s="24"/>
      <c r="F11" s="24"/>
      <c r="G11" s="24"/>
      <c r="H11" s="24"/>
      <c r="I11" s="24"/>
      <c r="J11" s="25" t="s">
        <v>53</v>
      </c>
      <c r="K11" s="278">
        <v>3.0000000000000001E-3</v>
      </c>
      <c r="L11" s="279"/>
      <c r="M11" s="26" t="s">
        <v>54</v>
      </c>
      <c r="N11" s="278">
        <v>8.2000000000000007E-3</v>
      </c>
      <c r="O11" s="280"/>
      <c r="P11" s="27" t="s">
        <v>55</v>
      </c>
      <c r="Q11" s="28"/>
      <c r="R11" s="28"/>
      <c r="S11" s="28"/>
      <c r="T11" s="28"/>
      <c r="U11" s="28"/>
      <c r="V11" s="255">
        <f>MIN(K11,N11)+0.26%+0.26%</f>
        <v>8.199999999999999E-3</v>
      </c>
      <c r="W11" s="256"/>
      <c r="X11" s="257" t="s">
        <v>56</v>
      </c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9"/>
      <c r="AN11" s="29"/>
      <c r="AO11" s="22"/>
      <c r="AP11" s="22" t="s">
        <v>57</v>
      </c>
      <c r="AQ11" s="249"/>
      <c r="AR11" s="22" t="s">
        <v>58</v>
      </c>
      <c r="AS11" s="22"/>
      <c r="AT11" s="22"/>
      <c r="AU11" s="251"/>
    </row>
    <row r="12" spans="1:47" x14ac:dyDescent="0.2">
      <c r="A12" s="30" t="s">
        <v>59</v>
      </c>
      <c r="B12" s="31"/>
      <c r="C12" s="31"/>
      <c r="D12" s="31"/>
      <c r="E12" s="31"/>
      <c r="F12" s="31"/>
      <c r="G12" s="31"/>
      <c r="H12" s="31"/>
      <c r="I12" s="31"/>
      <c r="J12" s="32" t="s">
        <v>53</v>
      </c>
      <c r="K12" s="281">
        <v>5.5999999999999999E-3</v>
      </c>
      <c r="L12" s="282"/>
      <c r="M12" s="33" t="s">
        <v>54</v>
      </c>
      <c r="N12" s="281">
        <v>8.8999999999999999E-3</v>
      </c>
      <c r="O12" s="283"/>
      <c r="P12" s="34" t="s">
        <v>60</v>
      </c>
      <c r="Q12" s="35"/>
      <c r="R12" s="35"/>
      <c r="S12" s="35"/>
      <c r="T12" s="35"/>
      <c r="U12" s="35"/>
      <c r="V12" s="284">
        <f>MIN(K12,N12)+0.16%+0.17%</f>
        <v>8.8999999999999999E-3</v>
      </c>
      <c r="W12" s="285"/>
      <c r="X12" s="260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1"/>
      <c r="AK12" s="261"/>
      <c r="AL12" s="261"/>
      <c r="AM12" s="262"/>
      <c r="AN12" s="29"/>
      <c r="AO12" s="21">
        <f t="shared" ref="AO12:AO17" si="0">K11</f>
        <v>3.0000000000000001E-3</v>
      </c>
      <c r="AP12" s="21">
        <f>AO12+AU12</f>
        <v>4.3E-3</v>
      </c>
      <c r="AQ12" s="36">
        <f>AVERAGE(K11,N11)</f>
        <v>5.6000000000000008E-3</v>
      </c>
      <c r="AR12" s="21">
        <f>AS12-AU12</f>
        <v>6.8999999999999999E-3</v>
      </c>
      <c r="AS12" s="37">
        <f>N11</f>
        <v>8.2000000000000007E-3</v>
      </c>
      <c r="AT12" s="21">
        <f t="shared" ref="AT12:AT17" si="1">STDEV(AO12,AQ12,AS12)</f>
        <v>2.6000000000000007E-3</v>
      </c>
      <c r="AU12" s="37">
        <f t="shared" ref="AU12:AU17" si="2">AT12/2</f>
        <v>1.3000000000000004E-3</v>
      </c>
    </row>
    <row r="13" spans="1:47" x14ac:dyDescent="0.2">
      <c r="A13" s="30" t="s">
        <v>61</v>
      </c>
      <c r="B13" s="31"/>
      <c r="C13" s="31"/>
      <c r="D13" s="31"/>
      <c r="E13" s="31"/>
      <c r="F13" s="31"/>
      <c r="G13" s="31"/>
      <c r="H13" s="31"/>
      <c r="I13" s="31"/>
      <c r="J13" s="32" t="s">
        <v>53</v>
      </c>
      <c r="K13" s="281">
        <v>8.5000000000000006E-3</v>
      </c>
      <c r="L13" s="282"/>
      <c r="M13" s="33" t="s">
        <v>54</v>
      </c>
      <c r="N13" s="281">
        <v>1.11E-2</v>
      </c>
      <c r="O13" s="283"/>
      <c r="P13" s="34" t="s">
        <v>62</v>
      </c>
      <c r="Q13" s="35"/>
      <c r="R13" s="35"/>
      <c r="S13" s="35"/>
      <c r="T13" s="35"/>
      <c r="U13" s="35"/>
      <c r="V13" s="284">
        <f>MIN(K13,N13)+0.13%+0.13%</f>
        <v>1.1099999999999999E-2</v>
      </c>
      <c r="W13" s="285"/>
      <c r="X13" s="260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2"/>
      <c r="AN13" s="29"/>
      <c r="AO13" s="21">
        <f t="shared" si="0"/>
        <v>5.5999999999999999E-3</v>
      </c>
      <c r="AP13" s="21">
        <f>AO13+AU13</f>
        <v>6.4250000000000002E-3</v>
      </c>
      <c r="AQ13" s="36">
        <f>AVERAGE(K12,N12)</f>
        <v>7.2499999999999995E-3</v>
      </c>
      <c r="AR13" s="21">
        <f>AS13-AU13</f>
        <v>8.0750000000000006E-3</v>
      </c>
      <c r="AS13" s="37">
        <f>N12</f>
        <v>8.8999999999999999E-3</v>
      </c>
      <c r="AT13" s="21">
        <f t="shared" si="1"/>
        <v>1.65E-3</v>
      </c>
      <c r="AU13" s="37">
        <f t="shared" si="2"/>
        <v>8.25E-4</v>
      </c>
    </row>
    <row r="14" spans="1:47" x14ac:dyDescent="0.2">
      <c r="A14" s="30" t="s">
        <v>63</v>
      </c>
      <c r="B14" s="31"/>
      <c r="C14" s="31"/>
      <c r="D14" s="31"/>
      <c r="E14" s="31"/>
      <c r="F14" s="31"/>
      <c r="G14" s="31"/>
      <c r="H14" s="31"/>
      <c r="I14" s="31"/>
      <c r="J14" s="32" t="s">
        <v>53</v>
      </c>
      <c r="K14" s="281">
        <v>1.4999999999999999E-2</v>
      </c>
      <c r="L14" s="282"/>
      <c r="M14" s="33" t="s">
        <v>54</v>
      </c>
      <c r="N14" s="281">
        <v>4.4900000000000002E-2</v>
      </c>
      <c r="O14" s="283"/>
      <c r="P14" s="34" t="s">
        <v>64</v>
      </c>
      <c r="Q14" s="35"/>
      <c r="R14" s="35"/>
      <c r="S14" s="35"/>
      <c r="T14" s="35"/>
      <c r="U14" s="35"/>
      <c r="V14" s="284">
        <f>AVERAGE(K14,N14)+0.71%</f>
        <v>3.705E-2</v>
      </c>
      <c r="W14" s="285"/>
      <c r="X14" s="260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1"/>
      <c r="AL14" s="261"/>
      <c r="AM14" s="262"/>
      <c r="AN14" s="29"/>
      <c r="AO14" s="21">
        <f t="shared" si="0"/>
        <v>8.5000000000000006E-3</v>
      </c>
      <c r="AP14" s="21">
        <f>AO14+AU14</f>
        <v>9.1500000000000001E-3</v>
      </c>
      <c r="AQ14" s="36">
        <f>AVERAGE(K13,N13)</f>
        <v>9.7999999999999997E-3</v>
      </c>
      <c r="AR14" s="21">
        <f>AS14-AU14</f>
        <v>1.0450000000000001E-2</v>
      </c>
      <c r="AS14" s="37">
        <f>N13</f>
        <v>1.11E-2</v>
      </c>
      <c r="AT14" s="21">
        <f t="shared" si="1"/>
        <v>1.2999999999999999E-3</v>
      </c>
      <c r="AU14" s="37">
        <f t="shared" si="2"/>
        <v>6.4999999999999997E-4</v>
      </c>
    </row>
    <row r="15" spans="1:47" x14ac:dyDescent="0.2">
      <c r="A15" s="30" t="s">
        <v>65</v>
      </c>
      <c r="B15" s="31"/>
      <c r="C15" s="31"/>
      <c r="D15" s="31"/>
      <c r="E15" s="31"/>
      <c r="F15" s="31"/>
      <c r="G15" s="31"/>
      <c r="H15" s="31"/>
      <c r="I15" s="31"/>
      <c r="J15" s="32" t="s">
        <v>53</v>
      </c>
      <c r="K15" s="281">
        <v>3.5000000000000003E-2</v>
      </c>
      <c r="L15" s="282"/>
      <c r="M15" s="33" t="s">
        <v>54</v>
      </c>
      <c r="N15" s="281">
        <v>6.2199999999999998E-2</v>
      </c>
      <c r="O15" s="283"/>
      <c r="P15" s="35" t="s">
        <v>66</v>
      </c>
      <c r="Q15" s="35"/>
      <c r="R15" s="35"/>
      <c r="S15" s="35"/>
      <c r="T15" s="35"/>
      <c r="U15" s="35"/>
      <c r="V15" s="284">
        <f>AVERAGE(K15,N15)</f>
        <v>4.8600000000000004E-2</v>
      </c>
      <c r="W15" s="285"/>
      <c r="X15" s="260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2"/>
      <c r="AN15" s="29"/>
      <c r="AO15" s="21">
        <f t="shared" si="0"/>
        <v>1.4999999999999999E-2</v>
      </c>
      <c r="AP15" s="21">
        <f>AO15+AU15</f>
        <v>2.2474999999999998E-2</v>
      </c>
      <c r="AQ15" s="36">
        <f>AVERAGE(K14,N14)</f>
        <v>2.9950000000000001E-2</v>
      </c>
      <c r="AR15" s="21">
        <f>AS15-AU15</f>
        <v>3.7425E-2</v>
      </c>
      <c r="AS15" s="37">
        <f>N14</f>
        <v>4.4900000000000002E-2</v>
      </c>
      <c r="AT15" s="21">
        <f t="shared" si="1"/>
        <v>1.4949999999999998E-2</v>
      </c>
      <c r="AU15" s="37">
        <f t="shared" si="2"/>
        <v>7.474999999999999E-3</v>
      </c>
    </row>
    <row r="16" spans="1:47" x14ac:dyDescent="0.2">
      <c r="A16" s="38" t="s">
        <v>67</v>
      </c>
      <c r="B16" s="39"/>
      <c r="C16" s="39"/>
      <c r="D16" s="39"/>
      <c r="E16" s="39"/>
      <c r="F16" s="39"/>
      <c r="G16" s="39"/>
      <c r="H16" s="39"/>
      <c r="I16" s="39"/>
      <c r="J16" s="40" t="s">
        <v>53</v>
      </c>
      <c r="K16" s="286">
        <f>G21+N21+U21</f>
        <v>3.6499999999999998E-2</v>
      </c>
      <c r="L16" s="287"/>
      <c r="M16" s="41" t="s">
        <v>54</v>
      </c>
      <c r="N16" s="288">
        <v>8.1500000000000003E-2</v>
      </c>
      <c r="O16" s="289"/>
      <c r="P16" s="42" t="s">
        <v>68</v>
      </c>
      <c r="Q16" s="42"/>
      <c r="R16" s="42"/>
      <c r="S16" s="42"/>
      <c r="T16" s="42"/>
      <c r="U16" s="42"/>
      <c r="V16" s="270">
        <f>G21+N21+U21+AB21</f>
        <v>3.6499999999999998E-2</v>
      </c>
      <c r="W16" s="271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263"/>
      <c r="AL16" s="263"/>
      <c r="AM16" s="264"/>
      <c r="AN16" s="29"/>
      <c r="AO16" s="21">
        <f t="shared" si="0"/>
        <v>3.5000000000000003E-2</v>
      </c>
      <c r="AP16" s="21">
        <f>AO16+AU16</f>
        <v>4.179999999999999E-2</v>
      </c>
      <c r="AQ16" s="36">
        <f>AVERAGE(K15,N15)</f>
        <v>4.8600000000000004E-2</v>
      </c>
      <c r="AR16" s="21">
        <f>AS16-AU16</f>
        <v>5.5400000000000012E-2</v>
      </c>
      <c r="AS16" s="37">
        <f>N15</f>
        <v>6.2199999999999998E-2</v>
      </c>
      <c r="AT16" s="21">
        <f t="shared" si="1"/>
        <v>1.3599999999999971E-2</v>
      </c>
      <c r="AU16" s="37">
        <f t="shared" si="2"/>
        <v>6.7999999999999857E-3</v>
      </c>
    </row>
    <row r="17" spans="1:47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43"/>
      <c r="AD17" s="17"/>
      <c r="AE17" s="17"/>
      <c r="AF17" s="17"/>
      <c r="AG17" s="17"/>
      <c r="AH17" s="17"/>
      <c r="AI17" s="17"/>
      <c r="AJ17" s="17"/>
      <c r="AK17" s="17"/>
      <c r="AL17" s="17"/>
      <c r="AM17" s="20"/>
      <c r="AN17" s="17"/>
      <c r="AO17" s="21">
        <f t="shared" si="0"/>
        <v>3.6499999999999998E-2</v>
      </c>
      <c r="AP17" s="21">
        <v>5.6499999999999995E-2</v>
      </c>
      <c r="AQ17" s="21">
        <v>5.6499999999999995E-2</v>
      </c>
      <c r="AR17" s="21">
        <v>5.6499999999999995E-2</v>
      </c>
      <c r="AS17" s="21">
        <v>5.6499999999999995E-2</v>
      </c>
      <c r="AT17" s="21">
        <f t="shared" si="1"/>
        <v>1.154700538379248E-2</v>
      </c>
      <c r="AU17" s="37">
        <f t="shared" si="2"/>
        <v>5.7735026918962398E-3</v>
      </c>
    </row>
    <row r="18" spans="1:47" x14ac:dyDescent="0.2">
      <c r="A18" s="18" t="s">
        <v>69</v>
      </c>
      <c r="B18" s="19"/>
      <c r="C18" s="19"/>
      <c r="D18" s="19"/>
      <c r="E18" s="19"/>
      <c r="F18" s="19"/>
      <c r="G18" s="19"/>
      <c r="H18" s="19"/>
      <c r="I18" s="19"/>
      <c r="J18" s="19"/>
      <c r="K18" s="17"/>
      <c r="L18" s="17"/>
      <c r="M18" s="17"/>
      <c r="N18" s="17"/>
      <c r="O18" s="17"/>
      <c r="P18" s="17"/>
      <c r="Q18" s="17"/>
      <c r="R18" s="17"/>
      <c r="S18" s="19"/>
      <c r="T18" s="17"/>
      <c r="U18" s="17"/>
      <c r="V18" s="17"/>
      <c r="W18" s="17"/>
      <c r="X18" s="17"/>
      <c r="Y18" s="17"/>
      <c r="Z18" s="44" t="s">
        <v>70</v>
      </c>
      <c r="AA18" s="17"/>
      <c r="AB18" s="17"/>
      <c r="AC18" s="17" t="s">
        <v>71</v>
      </c>
      <c r="AD18" s="17"/>
      <c r="AE18" s="17"/>
      <c r="AF18" s="17"/>
      <c r="AG18" s="17"/>
      <c r="AH18" s="17"/>
      <c r="AI18" s="17"/>
      <c r="AJ18" s="17"/>
      <c r="AK18" s="17"/>
      <c r="AL18" s="17"/>
      <c r="AM18" s="20"/>
      <c r="AN18" s="17"/>
      <c r="AO18" s="21"/>
      <c r="AQ18" s="21"/>
    </row>
    <row r="19" spans="1:47" x14ac:dyDescent="0.2">
      <c r="A19" s="18"/>
      <c r="B19" s="19"/>
      <c r="C19" s="19"/>
      <c r="D19" s="19"/>
      <c r="E19" s="19"/>
      <c r="F19" s="227" t="s">
        <v>44</v>
      </c>
      <c r="G19" s="228"/>
      <c r="H19" s="228"/>
      <c r="I19" s="228"/>
      <c r="J19" s="228"/>
      <c r="K19" s="229"/>
      <c r="L19" s="17"/>
      <c r="M19" s="227" t="s">
        <v>44</v>
      </c>
      <c r="N19" s="228"/>
      <c r="O19" s="228"/>
      <c r="P19" s="228"/>
      <c r="Q19" s="228"/>
      <c r="R19" s="229"/>
      <c r="S19" s="17"/>
      <c r="T19" s="227" t="s">
        <v>44</v>
      </c>
      <c r="U19" s="228"/>
      <c r="V19" s="228"/>
      <c r="W19" s="228"/>
      <c r="X19" s="228"/>
      <c r="Y19" s="229"/>
      <c r="Z19" s="17"/>
      <c r="AA19" s="227" t="s">
        <v>44</v>
      </c>
      <c r="AB19" s="228"/>
      <c r="AC19" s="228"/>
      <c r="AD19" s="228"/>
      <c r="AE19" s="228"/>
      <c r="AF19" s="229"/>
      <c r="AG19" s="17"/>
      <c r="AH19" s="17"/>
      <c r="AI19" s="17"/>
      <c r="AJ19" s="17"/>
      <c r="AK19" s="17"/>
      <c r="AL19" s="17"/>
      <c r="AM19" s="20"/>
      <c r="AN19" s="17"/>
      <c r="AO19" s="21"/>
      <c r="AQ19" s="21"/>
    </row>
    <row r="20" spans="1:47" x14ac:dyDescent="0.2">
      <c r="A20" s="18"/>
      <c r="B20" s="19"/>
      <c r="C20" s="19"/>
      <c r="D20" s="19"/>
      <c r="E20" s="19"/>
      <c r="F20" s="230"/>
      <c r="G20" s="231"/>
      <c r="H20" s="231"/>
      <c r="I20" s="231"/>
      <c r="J20" s="231"/>
      <c r="K20" s="232"/>
      <c r="L20" s="17"/>
      <c r="M20" s="230"/>
      <c r="N20" s="231"/>
      <c r="O20" s="231"/>
      <c r="P20" s="231"/>
      <c r="Q20" s="231"/>
      <c r="R20" s="232"/>
      <c r="S20" s="17"/>
      <c r="T20" s="230"/>
      <c r="U20" s="231"/>
      <c r="V20" s="231"/>
      <c r="W20" s="231"/>
      <c r="X20" s="231"/>
      <c r="Y20" s="232"/>
      <c r="Z20" s="17"/>
      <c r="AA20" s="230"/>
      <c r="AB20" s="231"/>
      <c r="AC20" s="231"/>
      <c r="AD20" s="231"/>
      <c r="AE20" s="231"/>
      <c r="AF20" s="232"/>
      <c r="AG20" s="17"/>
      <c r="AH20" s="17"/>
      <c r="AI20" s="17"/>
      <c r="AJ20" s="17"/>
      <c r="AK20" s="17"/>
      <c r="AL20" s="17"/>
      <c r="AM20" s="20"/>
      <c r="AN20" s="17"/>
      <c r="AO20" s="21"/>
      <c r="AQ20" s="21"/>
    </row>
    <row r="21" spans="1:47" x14ac:dyDescent="0.2">
      <c r="A21" s="18"/>
      <c r="B21" s="19"/>
      <c r="C21" s="19"/>
      <c r="D21" s="19"/>
      <c r="E21" s="19"/>
      <c r="F21" s="45" t="s">
        <v>53</v>
      </c>
      <c r="G21" s="272">
        <v>0.03</v>
      </c>
      <c r="H21" s="272"/>
      <c r="I21" s="46"/>
      <c r="J21" s="272"/>
      <c r="K21" s="273"/>
      <c r="L21" s="17"/>
      <c r="M21" s="45" t="s">
        <v>53</v>
      </c>
      <c r="N21" s="272">
        <v>6.4999999999999997E-3</v>
      </c>
      <c r="O21" s="272"/>
      <c r="P21" s="46"/>
      <c r="Q21" s="272"/>
      <c r="R21" s="273"/>
      <c r="S21" s="17"/>
      <c r="T21" s="45" t="s">
        <v>53</v>
      </c>
      <c r="U21" s="272">
        <v>0</v>
      </c>
      <c r="V21" s="272"/>
      <c r="W21" s="46"/>
      <c r="X21" s="272"/>
      <c r="Y21" s="273"/>
      <c r="Z21" s="17"/>
      <c r="AA21" s="45" t="s">
        <v>53</v>
      </c>
      <c r="AB21" s="272">
        <v>0</v>
      </c>
      <c r="AC21" s="272"/>
      <c r="AD21" s="46"/>
      <c r="AE21" s="272"/>
      <c r="AF21" s="273"/>
      <c r="AG21" s="17"/>
      <c r="AH21" s="17"/>
      <c r="AI21" s="17"/>
      <c r="AJ21" s="17"/>
      <c r="AK21" s="17"/>
      <c r="AL21" s="17"/>
      <c r="AM21" s="20"/>
      <c r="AN21" s="17"/>
      <c r="AO21" s="21"/>
      <c r="AQ21" s="21"/>
    </row>
    <row r="22" spans="1:47" x14ac:dyDescent="0.2">
      <c r="A22" s="18"/>
      <c r="B22" s="19"/>
      <c r="C22" s="19"/>
      <c r="D22" s="19"/>
      <c r="E22" s="19"/>
      <c r="F22" s="47"/>
      <c r="G22" s="48"/>
      <c r="H22" s="48"/>
      <c r="I22" s="44"/>
      <c r="J22" s="48"/>
      <c r="K22" s="48"/>
      <c r="L22" s="17"/>
      <c r="M22" s="47"/>
      <c r="N22" s="48"/>
      <c r="O22" s="48"/>
      <c r="P22" s="44"/>
      <c r="Q22" s="48"/>
      <c r="R22" s="48"/>
      <c r="S22" s="17"/>
      <c r="T22" s="47"/>
      <c r="U22" s="48"/>
      <c r="V22" s="48"/>
      <c r="W22" s="44"/>
      <c r="X22" s="48"/>
      <c r="Y22" s="48"/>
      <c r="Z22" s="17"/>
      <c r="AA22" s="47"/>
      <c r="AB22" s="48"/>
      <c r="AC22" s="48"/>
      <c r="AD22" s="44"/>
      <c r="AE22" s="48"/>
      <c r="AF22" s="48"/>
      <c r="AG22" s="17"/>
      <c r="AH22" s="17"/>
      <c r="AI22" s="17"/>
      <c r="AJ22" s="17"/>
      <c r="AK22" s="17"/>
      <c r="AL22" s="17"/>
      <c r="AM22" s="20"/>
      <c r="AN22" s="17"/>
      <c r="AO22" s="21"/>
      <c r="AQ22" s="21"/>
    </row>
    <row r="23" spans="1:47" x14ac:dyDescent="0.2">
      <c r="A23" s="274" t="s">
        <v>72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0"/>
      <c r="AN23" s="17"/>
      <c r="AO23" s="21"/>
    </row>
    <row r="24" spans="1:47" x14ac:dyDescent="0.2">
      <c r="A24" s="18" t="s">
        <v>73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17"/>
      <c r="AO24" s="21"/>
    </row>
    <row r="25" spans="1:47" x14ac:dyDescent="0.2">
      <c r="A25" s="49" t="s">
        <v>74</v>
      </c>
      <c r="B25" s="50"/>
      <c r="C25" s="50"/>
      <c r="D25" s="50"/>
      <c r="E25" s="50"/>
      <c r="F25" s="51"/>
      <c r="G25" s="52"/>
      <c r="H25" s="52"/>
      <c r="I25" s="53"/>
      <c r="J25" s="52"/>
      <c r="K25" s="52"/>
      <c r="L25" s="54"/>
      <c r="M25" s="51"/>
      <c r="N25" s="52"/>
      <c r="O25" s="52"/>
      <c r="P25" s="53"/>
      <c r="Q25" s="52"/>
      <c r="R25" s="52"/>
      <c r="S25" s="54"/>
      <c r="T25" s="51"/>
      <c r="U25" s="52"/>
      <c r="V25" s="52"/>
      <c r="W25" s="53"/>
      <c r="X25" s="52"/>
      <c r="Y25" s="52"/>
      <c r="Z25" s="54"/>
      <c r="AA25" s="51"/>
      <c r="AB25" s="52"/>
      <c r="AC25" s="52"/>
      <c r="AD25" s="53"/>
      <c r="AE25" s="52"/>
      <c r="AF25" s="52"/>
      <c r="AG25" s="54"/>
      <c r="AH25" s="54"/>
      <c r="AI25" s="54"/>
      <c r="AJ25" s="54"/>
      <c r="AK25" s="54"/>
      <c r="AL25" s="54"/>
      <c r="AM25" s="55"/>
      <c r="AN25" s="17"/>
    </row>
  </sheetData>
  <mergeCells count="48"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  <mergeCell ref="V14:W14"/>
    <mergeCell ref="K15:L15"/>
    <mergeCell ref="N15:O15"/>
    <mergeCell ref="V15:W15"/>
    <mergeCell ref="K16:L16"/>
    <mergeCell ref="N16:O16"/>
    <mergeCell ref="V16:W16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I7:AM7"/>
    <mergeCell ref="J9:O10"/>
    <mergeCell ref="P9:W10"/>
    <mergeCell ref="X9:AH10"/>
    <mergeCell ref="AI9:AM10"/>
    <mergeCell ref="A1:AM1"/>
    <mergeCell ref="A2:AM2"/>
    <mergeCell ref="A3:AM3"/>
    <mergeCell ref="A4:AM4"/>
    <mergeCell ref="B5:AG5"/>
    <mergeCell ref="AH5:AI5"/>
    <mergeCell ref="AJ5:AM5"/>
  </mergeCells>
  <printOptions horizontalCentered="1"/>
  <pageMargins left="0.39370078740157483" right="0.39370078740157483" top="0.39370078740157483" bottom="0.39370078740157483" header="0" footer="0"/>
  <pageSetup paperSize="9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AMJ44"/>
  <sheetViews>
    <sheetView showGridLines="0" showZeros="0" view="pageBreakPreview" zoomScale="130" zoomScaleNormal="100" zoomScaleSheetLayoutView="130" workbookViewId="0">
      <pane ySplit="5" topLeftCell="A27" activePane="bottomLeft" state="frozen"/>
      <selection pane="bottomLeft" activeCell="E43" sqref="E43"/>
    </sheetView>
  </sheetViews>
  <sheetFormatPr defaultColWidth="9.140625" defaultRowHeight="15" x14ac:dyDescent="0.25"/>
  <cols>
    <col min="1" max="1" width="7.28515625" style="2" customWidth="1"/>
    <col min="2" max="2" width="57.140625" style="2" customWidth="1"/>
    <col min="3" max="3" width="20.5703125" style="1" bestFit="1" customWidth="1"/>
    <col min="4" max="4" width="14" style="1" bestFit="1" customWidth="1"/>
    <col min="5" max="5" width="12.140625" style="1" bestFit="1" customWidth="1"/>
    <col min="6" max="6" width="11" style="2" customWidth="1"/>
    <col min="7" max="7" width="14.5703125" style="2" customWidth="1"/>
    <col min="8" max="8" width="37.7109375" style="2" customWidth="1"/>
    <col min="9" max="1024" width="9.140625" style="2"/>
  </cols>
  <sheetData>
    <row r="1" spans="1:6" ht="20.25" x14ac:dyDescent="0.25">
      <c r="A1" s="290" t="s">
        <v>127</v>
      </c>
      <c r="B1" s="291"/>
      <c r="C1" s="291"/>
      <c r="D1" s="291"/>
      <c r="E1" s="291"/>
      <c r="F1" s="292"/>
    </row>
    <row r="2" spans="1:6" ht="15.75" x14ac:dyDescent="0.25">
      <c r="A2" s="293" t="s">
        <v>128</v>
      </c>
      <c r="B2" s="294"/>
      <c r="C2" s="294"/>
      <c r="D2" s="294"/>
      <c r="E2" s="294"/>
      <c r="F2" s="295"/>
    </row>
    <row r="3" spans="1:6" x14ac:dyDescent="0.25">
      <c r="A3" s="296" t="s">
        <v>129</v>
      </c>
      <c r="B3" s="297"/>
      <c r="C3" s="297"/>
      <c r="D3" s="297"/>
      <c r="E3" s="297"/>
      <c r="F3" s="298"/>
    </row>
    <row r="4" spans="1:6" x14ac:dyDescent="0.25">
      <c r="A4" s="299" t="s">
        <v>135</v>
      </c>
      <c r="B4" s="300"/>
      <c r="C4" s="300"/>
      <c r="D4" s="300"/>
      <c r="E4" s="300"/>
      <c r="F4" s="301"/>
    </row>
    <row r="5" spans="1:6" x14ac:dyDescent="0.25">
      <c r="A5" s="129" t="s">
        <v>130</v>
      </c>
      <c r="B5" s="302" t="s">
        <v>132</v>
      </c>
      <c r="C5" s="303"/>
      <c r="D5" s="304"/>
      <c r="E5" s="129" t="s">
        <v>131</v>
      </c>
      <c r="F5" s="129" t="s">
        <v>147</v>
      </c>
    </row>
    <row r="6" spans="1:6" x14ac:dyDescent="0.25">
      <c r="A6" s="308"/>
      <c r="B6" s="308"/>
      <c r="C6" s="308"/>
      <c r="D6" s="308"/>
      <c r="E6" s="308"/>
      <c r="F6" s="308"/>
    </row>
    <row r="7" spans="1:6" x14ac:dyDescent="0.25">
      <c r="A7" s="312">
        <v>1</v>
      </c>
      <c r="B7" s="130" t="s">
        <v>88</v>
      </c>
      <c r="C7" s="310" t="s">
        <v>8</v>
      </c>
      <c r="D7" s="311"/>
      <c r="E7" s="311"/>
      <c r="F7" s="131">
        <f>AVERAGE(C10:F10)</f>
        <v>49.513333333333328</v>
      </c>
    </row>
    <row r="8" spans="1:6" x14ac:dyDescent="0.25">
      <c r="A8" s="312"/>
      <c r="B8" s="132" t="s">
        <v>9</v>
      </c>
      <c r="C8" s="133" t="s">
        <v>89</v>
      </c>
      <c r="D8" s="133" t="s">
        <v>95</v>
      </c>
      <c r="E8" s="133" t="s">
        <v>96</v>
      </c>
      <c r="F8" s="133"/>
    </row>
    <row r="9" spans="1:6" x14ac:dyDescent="0.25">
      <c r="A9" s="312"/>
      <c r="B9" s="134" t="s">
        <v>3</v>
      </c>
      <c r="C9" s="135"/>
      <c r="D9" s="136"/>
      <c r="E9" s="136"/>
      <c r="F9" s="136"/>
    </row>
    <row r="10" spans="1:6" x14ac:dyDescent="0.25">
      <c r="A10" s="312"/>
      <c r="B10" s="137" t="s">
        <v>10</v>
      </c>
      <c r="C10" s="138">
        <v>58.29</v>
      </c>
      <c r="D10" s="138">
        <v>49</v>
      </c>
      <c r="E10" s="138">
        <v>41.25</v>
      </c>
      <c r="F10" s="138"/>
    </row>
    <row r="11" spans="1:6" x14ac:dyDescent="0.25">
      <c r="A11" s="312"/>
      <c r="B11" s="139"/>
      <c r="C11" s="140"/>
      <c r="D11" s="141"/>
      <c r="E11" s="141"/>
      <c r="F11" s="142"/>
    </row>
    <row r="12" spans="1:6" x14ac:dyDescent="0.25">
      <c r="A12" s="143"/>
      <c r="B12" s="144"/>
      <c r="C12" s="144"/>
      <c r="D12" s="144"/>
      <c r="E12" s="144"/>
      <c r="F12" s="145"/>
    </row>
    <row r="13" spans="1:6" x14ac:dyDescent="0.25">
      <c r="A13" s="312">
        <v>2</v>
      </c>
      <c r="B13" s="130" t="s">
        <v>84</v>
      </c>
      <c r="C13" s="310" t="s">
        <v>8</v>
      </c>
      <c r="D13" s="311"/>
      <c r="E13" s="311"/>
      <c r="F13" s="131">
        <f>AVERAGE(C16:F16)</f>
        <v>46.586666666666666</v>
      </c>
    </row>
    <row r="14" spans="1:6" x14ac:dyDescent="0.25">
      <c r="A14" s="312"/>
      <c r="B14" s="132" t="s">
        <v>9</v>
      </c>
      <c r="C14" s="133" t="s">
        <v>89</v>
      </c>
      <c r="D14" s="133" t="s">
        <v>95</v>
      </c>
      <c r="E14" s="133" t="s">
        <v>96</v>
      </c>
      <c r="F14" s="133"/>
    </row>
    <row r="15" spans="1:6" x14ac:dyDescent="0.25">
      <c r="A15" s="312"/>
      <c r="B15" s="134" t="s">
        <v>3</v>
      </c>
      <c r="C15" s="135"/>
      <c r="D15" s="136"/>
      <c r="E15" s="136"/>
      <c r="F15" s="136"/>
    </row>
    <row r="16" spans="1:6" x14ac:dyDescent="0.25">
      <c r="A16" s="312"/>
      <c r="B16" s="137" t="s">
        <v>10</v>
      </c>
      <c r="C16" s="138">
        <v>18.8</v>
      </c>
      <c r="D16" s="138">
        <v>56</v>
      </c>
      <c r="E16" s="138">
        <v>64.959999999999994</v>
      </c>
      <c r="F16" s="138"/>
    </row>
    <row r="17" spans="1:6" x14ac:dyDescent="0.25">
      <c r="A17" s="312"/>
      <c r="B17" s="139"/>
      <c r="C17" s="140"/>
      <c r="D17" s="141"/>
      <c r="E17" s="141"/>
      <c r="F17" s="142"/>
    </row>
    <row r="18" spans="1:6" s="2" customFormat="1" x14ac:dyDescent="0.25">
      <c r="A18" s="146"/>
      <c r="B18" s="147"/>
      <c r="C18" s="309"/>
      <c r="D18" s="309"/>
      <c r="E18" s="309"/>
      <c r="F18" s="309"/>
    </row>
    <row r="19" spans="1:6" s="2" customFormat="1" x14ac:dyDescent="0.25">
      <c r="A19" s="312">
        <v>3</v>
      </c>
      <c r="B19" s="130" t="s">
        <v>85</v>
      </c>
      <c r="C19" s="310" t="s">
        <v>8</v>
      </c>
      <c r="D19" s="311"/>
      <c r="E19" s="311"/>
      <c r="F19" s="131">
        <f>AVERAGE(C22:F22)</f>
        <v>31.743333333333329</v>
      </c>
    </row>
    <row r="20" spans="1:6" s="2" customFormat="1" x14ac:dyDescent="0.25">
      <c r="A20" s="312"/>
      <c r="B20" s="132" t="s">
        <v>9</v>
      </c>
      <c r="C20" s="133" t="s">
        <v>89</v>
      </c>
      <c r="D20" s="133" t="s">
        <v>95</v>
      </c>
      <c r="E20" s="133" t="s">
        <v>96</v>
      </c>
      <c r="F20" s="133"/>
    </row>
    <row r="21" spans="1:6" s="2" customFormat="1" x14ac:dyDescent="0.25">
      <c r="A21" s="312"/>
      <c r="B21" s="134" t="s">
        <v>3</v>
      </c>
      <c r="C21" s="135"/>
      <c r="D21" s="136"/>
      <c r="E21" s="136"/>
      <c r="F21" s="136"/>
    </row>
    <row r="22" spans="1:6" x14ac:dyDescent="0.25">
      <c r="A22" s="312"/>
      <c r="B22" s="137" t="s">
        <v>10</v>
      </c>
      <c r="C22" s="138">
        <v>24.5</v>
      </c>
      <c r="D22" s="138">
        <v>31</v>
      </c>
      <c r="E22" s="138">
        <v>39.729999999999997</v>
      </c>
      <c r="F22" s="138"/>
    </row>
    <row r="23" spans="1:6" x14ac:dyDescent="0.25">
      <c r="A23" s="312"/>
      <c r="B23" s="139"/>
      <c r="C23" s="140"/>
      <c r="D23" s="141"/>
      <c r="E23" s="141"/>
      <c r="F23" s="142"/>
    </row>
    <row r="24" spans="1:6" x14ac:dyDescent="0.25">
      <c r="A24" s="143"/>
      <c r="B24" s="144"/>
      <c r="C24" s="144"/>
      <c r="D24" s="144"/>
      <c r="E24" s="144"/>
      <c r="F24" s="145"/>
    </row>
    <row r="25" spans="1:6" x14ac:dyDescent="0.25">
      <c r="A25" s="312">
        <v>4</v>
      </c>
      <c r="B25" s="130" t="s">
        <v>86</v>
      </c>
      <c r="C25" s="310" t="s">
        <v>8</v>
      </c>
      <c r="D25" s="311"/>
      <c r="E25" s="311"/>
      <c r="F25" s="131">
        <f>AVERAGE(C28:F28)</f>
        <v>29.066666666666666</v>
      </c>
    </row>
    <row r="26" spans="1:6" x14ac:dyDescent="0.25">
      <c r="A26" s="312"/>
      <c r="B26" s="132" t="s">
        <v>9</v>
      </c>
      <c r="C26" s="133" t="s">
        <v>89</v>
      </c>
      <c r="D26" s="133" t="s">
        <v>95</v>
      </c>
      <c r="E26" s="133" t="s">
        <v>96</v>
      </c>
      <c r="F26" s="133"/>
    </row>
    <row r="27" spans="1:6" x14ac:dyDescent="0.25">
      <c r="A27" s="312"/>
      <c r="B27" s="134" t="s">
        <v>3</v>
      </c>
      <c r="C27" s="135"/>
      <c r="D27" s="136"/>
      <c r="E27" s="136"/>
      <c r="F27" s="136"/>
    </row>
    <row r="28" spans="1:6" x14ac:dyDescent="0.25">
      <c r="A28" s="312"/>
      <c r="B28" s="137" t="s">
        <v>10</v>
      </c>
      <c r="C28" s="138">
        <v>27.6</v>
      </c>
      <c r="D28" s="138">
        <v>33.299999999999997</v>
      </c>
      <c r="E28" s="138">
        <v>26.3</v>
      </c>
      <c r="F28" s="138"/>
    </row>
    <row r="29" spans="1:6" x14ac:dyDescent="0.25">
      <c r="A29" s="312"/>
      <c r="B29" s="139"/>
      <c r="C29" s="140"/>
      <c r="D29" s="141"/>
      <c r="E29" s="141"/>
      <c r="F29" s="142"/>
    </row>
    <row r="30" spans="1:6" x14ac:dyDescent="0.25">
      <c r="A30" s="143"/>
      <c r="B30" s="144"/>
      <c r="C30" s="144"/>
      <c r="D30" s="144"/>
      <c r="E30" s="144"/>
      <c r="F30" s="145"/>
    </row>
    <row r="31" spans="1:6" ht="25.5" customHeight="1" x14ac:dyDescent="0.25">
      <c r="A31" s="312">
        <v>5</v>
      </c>
      <c r="B31" s="130" t="s">
        <v>87</v>
      </c>
      <c r="C31" s="310" t="s">
        <v>8</v>
      </c>
      <c r="D31" s="311"/>
      <c r="E31" s="311"/>
      <c r="F31" s="131">
        <f>AVERAGE(C34:F34)</f>
        <v>137.82</v>
      </c>
    </row>
    <row r="32" spans="1:6" x14ac:dyDescent="0.25">
      <c r="A32" s="312"/>
      <c r="B32" s="132" t="s">
        <v>9</v>
      </c>
      <c r="C32" s="133" t="s">
        <v>89</v>
      </c>
      <c r="D32" s="133" t="s">
        <v>95</v>
      </c>
      <c r="E32" s="133" t="s">
        <v>96</v>
      </c>
      <c r="F32" s="133"/>
    </row>
    <row r="33" spans="1:6" ht="14.85" customHeight="1" x14ac:dyDescent="0.25">
      <c r="A33" s="312"/>
      <c r="B33" s="134" t="s">
        <v>3</v>
      </c>
      <c r="C33" s="135"/>
      <c r="D33" s="136"/>
      <c r="E33" s="136"/>
      <c r="F33" s="136"/>
    </row>
    <row r="34" spans="1:6" x14ac:dyDescent="0.25">
      <c r="A34" s="312"/>
      <c r="B34" s="137" t="s">
        <v>10</v>
      </c>
      <c r="C34" s="138">
        <v>280</v>
      </c>
      <c r="D34" s="138">
        <v>62</v>
      </c>
      <c r="E34" s="138">
        <v>71.459999999999994</v>
      </c>
      <c r="F34" s="138"/>
    </row>
    <row r="35" spans="1:6" x14ac:dyDescent="0.25">
      <c r="A35" s="148"/>
      <c r="B35" s="148"/>
      <c r="C35" s="149"/>
      <c r="D35" s="149"/>
      <c r="E35" s="149"/>
      <c r="F35" s="148"/>
    </row>
    <row r="36" spans="1:6" x14ac:dyDescent="0.25">
      <c r="A36" s="305">
        <v>6</v>
      </c>
      <c r="B36" s="95" t="s">
        <v>91</v>
      </c>
      <c r="C36" s="306" t="s">
        <v>8</v>
      </c>
      <c r="D36" s="307"/>
      <c r="E36" s="307"/>
      <c r="F36" s="96">
        <f>AVERAGE(C39:F39)</f>
        <v>129.61000000000001</v>
      </c>
    </row>
    <row r="37" spans="1:6" x14ac:dyDescent="0.25">
      <c r="A37" s="305"/>
      <c r="B37" s="97" t="s">
        <v>9</v>
      </c>
      <c r="C37" s="98" t="s">
        <v>92</v>
      </c>
      <c r="D37" s="98" t="s">
        <v>93</v>
      </c>
      <c r="E37" s="98" t="s">
        <v>94</v>
      </c>
      <c r="F37" s="98"/>
    </row>
    <row r="38" spans="1:6" x14ac:dyDescent="0.25">
      <c r="A38" s="305"/>
      <c r="B38" s="99" t="s">
        <v>3</v>
      </c>
      <c r="C38" s="100"/>
      <c r="D38" s="101"/>
      <c r="E38" s="101"/>
      <c r="F38" s="101"/>
    </row>
    <row r="39" spans="1:6" x14ac:dyDescent="0.25">
      <c r="A39" s="305"/>
      <c r="B39" s="102" t="s">
        <v>10</v>
      </c>
      <c r="C39" s="103">
        <v>108.24</v>
      </c>
      <c r="D39" s="103">
        <v>130.99</v>
      </c>
      <c r="E39" s="103">
        <v>149.6</v>
      </c>
      <c r="F39" s="103"/>
    </row>
    <row r="40" spans="1:6" x14ac:dyDescent="0.25">
      <c r="A40" s="148"/>
      <c r="B40" s="148"/>
      <c r="C40" s="149"/>
      <c r="D40" s="149"/>
      <c r="E40" s="149"/>
      <c r="F40" s="148"/>
    </row>
    <row r="41" spans="1:6" x14ac:dyDescent="0.25">
      <c r="A41" s="305">
        <v>7</v>
      </c>
      <c r="B41" s="95" t="s">
        <v>101</v>
      </c>
      <c r="C41" s="306" t="s">
        <v>8</v>
      </c>
      <c r="D41" s="307"/>
      <c r="E41" s="307"/>
      <c r="F41" s="96">
        <v>12.8284783051538</v>
      </c>
    </row>
    <row r="42" spans="1:6" x14ac:dyDescent="0.25">
      <c r="A42" s="305"/>
      <c r="B42" s="97" t="s">
        <v>9</v>
      </c>
      <c r="C42" s="98" t="s">
        <v>136</v>
      </c>
      <c r="D42" s="98" t="s">
        <v>137</v>
      </c>
      <c r="E42" s="98" t="s">
        <v>138</v>
      </c>
      <c r="F42" s="98"/>
    </row>
    <row r="43" spans="1:6" x14ac:dyDescent="0.25">
      <c r="A43" s="305"/>
      <c r="B43" s="99" t="s">
        <v>3</v>
      </c>
      <c r="C43" s="100"/>
      <c r="D43" s="101"/>
      <c r="E43" s="101"/>
      <c r="F43" s="101"/>
    </row>
    <row r="44" spans="1:6" x14ac:dyDescent="0.25">
      <c r="A44" s="305"/>
      <c r="B44" s="102" t="s">
        <v>10</v>
      </c>
      <c r="C44" s="103">
        <v>12.8284783051538</v>
      </c>
      <c r="D44" s="103">
        <v>16.958647382358933</v>
      </c>
      <c r="E44" s="103">
        <v>1.747810144632308</v>
      </c>
      <c r="F44" s="104"/>
    </row>
  </sheetData>
  <mergeCells count="21">
    <mergeCell ref="A41:A44"/>
    <mergeCell ref="C41:E41"/>
    <mergeCell ref="A36:A39"/>
    <mergeCell ref="C36:E36"/>
    <mergeCell ref="A6:F6"/>
    <mergeCell ref="C18:F18"/>
    <mergeCell ref="C25:E25"/>
    <mergeCell ref="C19:E19"/>
    <mergeCell ref="C13:E13"/>
    <mergeCell ref="C7:E7"/>
    <mergeCell ref="A31:A34"/>
    <mergeCell ref="C31:E31"/>
    <mergeCell ref="A7:A11"/>
    <mergeCell ref="A13:A17"/>
    <mergeCell ref="A19:A23"/>
    <mergeCell ref="A25:A29"/>
    <mergeCell ref="A1:F1"/>
    <mergeCell ref="A2:F2"/>
    <mergeCell ref="A3:F3"/>
    <mergeCell ref="A4:F4"/>
    <mergeCell ref="B5:D5"/>
  </mergeCells>
  <conditionalFormatting sqref="B6:C7 B12:C13 B18:C19 B24:C25 B30:C31 F30 F24 F18 F12 F6:F7">
    <cfRule type="containsText" dxfId="43" priority="47" operator="containsText" text="livre">
      <formula>NOT(ISERROR(SEARCH("livre",B6)))</formula>
    </cfRule>
  </conditionalFormatting>
  <conditionalFormatting sqref="B8:C9 F9 B14:C15 B20:C21 B26:C27 B32:C33">
    <cfRule type="containsText" dxfId="42" priority="48" operator="containsText" text="livre">
      <formula>NOT(ISERROR(SEARCH("livre",B8)))</formula>
    </cfRule>
  </conditionalFormatting>
  <conditionalFormatting sqref="F8">
    <cfRule type="containsText" dxfId="41" priority="49" operator="containsText" text="livre">
      <formula>NOT(ISERROR(SEARCH("livre",F8)))</formula>
    </cfRule>
  </conditionalFormatting>
  <conditionalFormatting sqref="D7 D25 D19 D31 D13">
    <cfRule type="containsText" dxfId="40" priority="50" operator="containsText" text="livre">
      <formula>NOT(ISERROR(SEARCH("livre",D7)))</formula>
    </cfRule>
  </conditionalFormatting>
  <conditionalFormatting sqref="D9 D15 D21 D27 D33">
    <cfRule type="containsText" dxfId="39" priority="51" operator="containsText" text="livre">
      <formula>NOT(ISERROR(SEARCH("livre",D9)))</formula>
    </cfRule>
  </conditionalFormatting>
  <conditionalFormatting sqref="D26 D20 D14 D8 D32">
    <cfRule type="containsText" dxfId="38" priority="52" operator="containsText" text="livre">
      <formula>NOT(ISERROR(SEARCH("livre",D8)))</formula>
    </cfRule>
  </conditionalFormatting>
  <conditionalFormatting sqref="E7">
    <cfRule type="containsText" dxfId="37" priority="44" operator="containsText" text="livre">
      <formula>NOT(ISERROR(SEARCH("livre",E7)))</formula>
    </cfRule>
  </conditionalFormatting>
  <conditionalFormatting sqref="E9">
    <cfRule type="containsText" dxfId="36" priority="45" operator="containsText" text="livre">
      <formula>NOT(ISERROR(SEARCH("livre",E9)))</formula>
    </cfRule>
  </conditionalFormatting>
  <conditionalFormatting sqref="E8">
    <cfRule type="containsText" dxfId="35" priority="46" operator="containsText" text="livre">
      <formula>NOT(ISERROR(SEARCH("livre",E8)))</formula>
    </cfRule>
  </conditionalFormatting>
  <conditionalFormatting sqref="E13">
    <cfRule type="containsText" dxfId="34" priority="41" operator="containsText" text="livre">
      <formula>NOT(ISERROR(SEARCH("livre",E13)))</formula>
    </cfRule>
  </conditionalFormatting>
  <conditionalFormatting sqref="E15">
    <cfRule type="containsText" dxfId="33" priority="42" operator="containsText" text="livre">
      <formula>NOT(ISERROR(SEARCH("livre",E15)))</formula>
    </cfRule>
  </conditionalFormatting>
  <conditionalFormatting sqref="E19">
    <cfRule type="containsText" dxfId="32" priority="38" operator="containsText" text="livre">
      <formula>NOT(ISERROR(SEARCH("livre",E19)))</formula>
    </cfRule>
  </conditionalFormatting>
  <conditionalFormatting sqref="E21">
    <cfRule type="containsText" dxfId="31" priority="39" operator="containsText" text="livre">
      <formula>NOT(ISERROR(SEARCH("livre",E21)))</formula>
    </cfRule>
  </conditionalFormatting>
  <conditionalFormatting sqref="E25">
    <cfRule type="containsText" dxfId="30" priority="35" operator="containsText" text="livre">
      <formula>NOT(ISERROR(SEARCH("livre",E25)))</formula>
    </cfRule>
  </conditionalFormatting>
  <conditionalFormatting sqref="E27">
    <cfRule type="containsText" dxfId="29" priority="36" operator="containsText" text="livre">
      <formula>NOT(ISERROR(SEARCH("livre",E27)))</formula>
    </cfRule>
  </conditionalFormatting>
  <conditionalFormatting sqref="E31">
    <cfRule type="containsText" dxfId="28" priority="32" operator="containsText" text="livre">
      <formula>NOT(ISERROR(SEARCH("livre",E31)))</formula>
    </cfRule>
  </conditionalFormatting>
  <conditionalFormatting sqref="E33">
    <cfRule type="containsText" dxfId="27" priority="33" operator="containsText" text="livre">
      <formula>NOT(ISERROR(SEARCH("livre",E33)))</formula>
    </cfRule>
  </conditionalFormatting>
  <conditionalFormatting sqref="F26">
    <cfRule type="containsText" dxfId="26" priority="25" operator="containsText" text="livre">
      <formula>NOT(ISERROR(SEARCH("livre",F26)))</formula>
    </cfRule>
  </conditionalFormatting>
  <conditionalFormatting sqref="F15">
    <cfRule type="containsText" dxfId="25" priority="30" operator="containsText" text="livre">
      <formula>NOT(ISERROR(SEARCH("livre",F15)))</formula>
    </cfRule>
  </conditionalFormatting>
  <conditionalFormatting sqref="F14">
    <cfRule type="containsText" dxfId="24" priority="31" operator="containsText" text="livre">
      <formula>NOT(ISERROR(SEARCH("livre",F14)))</formula>
    </cfRule>
  </conditionalFormatting>
  <conditionalFormatting sqref="F21">
    <cfRule type="containsText" dxfId="23" priority="27" operator="containsText" text="livre">
      <formula>NOT(ISERROR(SEARCH("livre",F21)))</formula>
    </cfRule>
  </conditionalFormatting>
  <conditionalFormatting sqref="F20">
    <cfRule type="containsText" dxfId="22" priority="28" operator="containsText" text="livre">
      <formula>NOT(ISERROR(SEARCH("livre",F20)))</formula>
    </cfRule>
  </conditionalFormatting>
  <conditionalFormatting sqref="F33">
    <cfRule type="containsText" dxfId="21" priority="21" operator="containsText" text="livre">
      <formula>NOT(ISERROR(SEARCH("livre",F33)))</formula>
    </cfRule>
  </conditionalFormatting>
  <conditionalFormatting sqref="F27">
    <cfRule type="containsText" dxfId="20" priority="24" operator="containsText" text="livre">
      <formula>NOT(ISERROR(SEARCH("livre",F27)))</formula>
    </cfRule>
  </conditionalFormatting>
  <conditionalFormatting sqref="F13">
    <cfRule type="containsText" dxfId="19" priority="19" operator="containsText" text="livre">
      <formula>NOT(ISERROR(SEARCH("livre",F13)))</formula>
    </cfRule>
  </conditionalFormatting>
  <conditionalFormatting sqref="F32">
    <cfRule type="containsText" dxfId="18" priority="22" operator="containsText" text="livre">
      <formula>NOT(ISERROR(SEARCH("livre",F32)))</formula>
    </cfRule>
  </conditionalFormatting>
  <conditionalFormatting sqref="F19">
    <cfRule type="containsText" dxfId="17" priority="18" operator="containsText" text="livre">
      <formula>NOT(ISERROR(SEARCH("livre",F19)))</formula>
    </cfRule>
  </conditionalFormatting>
  <conditionalFormatting sqref="F25">
    <cfRule type="containsText" dxfId="16" priority="17" operator="containsText" text="livre">
      <formula>NOT(ISERROR(SEARCH("livre",F25)))</formula>
    </cfRule>
  </conditionalFormatting>
  <conditionalFormatting sqref="F31">
    <cfRule type="containsText" dxfId="15" priority="16" operator="containsText" text="livre">
      <formula>NOT(ISERROR(SEARCH("livre",F31)))</formula>
    </cfRule>
  </conditionalFormatting>
  <conditionalFormatting sqref="B36:C36">
    <cfRule type="containsText" dxfId="14" priority="11" operator="containsText" text="livre">
      <formula>NOT(ISERROR(SEARCH("livre",B36)))</formula>
    </cfRule>
  </conditionalFormatting>
  <conditionalFormatting sqref="B37:C38">
    <cfRule type="containsText" dxfId="13" priority="12" operator="containsText" text="livre">
      <formula>NOT(ISERROR(SEARCH("livre",B37)))</formula>
    </cfRule>
  </conditionalFormatting>
  <conditionalFormatting sqref="D36">
    <cfRule type="containsText" dxfId="12" priority="13" operator="containsText" text="livre">
      <formula>NOT(ISERROR(SEARCH("livre",D36)))</formula>
    </cfRule>
  </conditionalFormatting>
  <conditionalFormatting sqref="D38">
    <cfRule type="containsText" dxfId="11" priority="14" operator="containsText" text="livre">
      <formula>NOT(ISERROR(SEARCH("livre",D38)))</formula>
    </cfRule>
  </conditionalFormatting>
  <conditionalFormatting sqref="D37">
    <cfRule type="containsText" dxfId="10" priority="15" operator="containsText" text="livre">
      <formula>NOT(ISERROR(SEARCH("livre",D37)))</formula>
    </cfRule>
  </conditionalFormatting>
  <conditionalFormatting sqref="E36">
    <cfRule type="containsText" dxfId="9" priority="8" operator="containsText" text="livre">
      <formula>NOT(ISERROR(SEARCH("livre",E36)))</formula>
    </cfRule>
  </conditionalFormatting>
  <conditionalFormatting sqref="E38">
    <cfRule type="containsText" dxfId="8" priority="9" operator="containsText" text="livre">
      <formula>NOT(ISERROR(SEARCH("livre",E38)))</formula>
    </cfRule>
  </conditionalFormatting>
  <conditionalFormatting sqref="E37">
    <cfRule type="containsText" dxfId="7" priority="10" operator="containsText" text="livre">
      <formula>NOT(ISERROR(SEARCH("livre",E37)))</formula>
    </cfRule>
  </conditionalFormatting>
  <conditionalFormatting sqref="F38">
    <cfRule type="containsText" dxfId="6" priority="6" operator="containsText" text="livre">
      <formula>NOT(ISERROR(SEARCH("livre",F38)))</formula>
    </cfRule>
  </conditionalFormatting>
  <conditionalFormatting sqref="F37">
    <cfRule type="containsText" dxfId="5" priority="7" operator="containsText" text="livre">
      <formula>NOT(ISERROR(SEARCH("livre",F37)))</formula>
    </cfRule>
  </conditionalFormatting>
  <conditionalFormatting sqref="F36">
    <cfRule type="containsText" dxfId="4" priority="5" operator="containsText" text="livre">
      <formula>NOT(ISERROR(SEARCH("livre",F36)))</formula>
    </cfRule>
  </conditionalFormatting>
  <conditionalFormatting sqref="E14">
    <cfRule type="containsText" dxfId="3" priority="4" operator="containsText" text="livre">
      <formula>NOT(ISERROR(SEARCH("livre",E14)))</formula>
    </cfRule>
  </conditionalFormatting>
  <conditionalFormatting sqref="E20">
    <cfRule type="containsText" dxfId="2" priority="3" operator="containsText" text="livre">
      <formula>NOT(ISERROR(SEARCH("livre",E20)))</formula>
    </cfRule>
  </conditionalFormatting>
  <conditionalFormatting sqref="E26">
    <cfRule type="containsText" dxfId="1" priority="2" operator="containsText" text="livre">
      <formula>NOT(ISERROR(SEARCH("livre",E26)))</formula>
    </cfRule>
  </conditionalFormatting>
  <conditionalFormatting sqref="E32">
    <cfRule type="containsText" dxfId="0" priority="1" operator="containsText" text="livre">
      <formula>NOT(ISERROR(SEARCH("livre",E32)))</formula>
    </cfRule>
  </conditionalFormatting>
  <printOptions horizontalCentered="1"/>
  <pageMargins left="0.39370078740157483" right="0.51181102362204722" top="0.39370078740157483" bottom="0.39370078740157483" header="0" footer="0"/>
  <pageSetup paperSize="9" scale="7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ORÇAMENTO</vt:lpstr>
      <vt:lpstr>CRONOGRAMA</vt:lpstr>
      <vt:lpstr>CP BDI OBRA</vt:lpstr>
      <vt:lpstr>CP BDI DIFERENCIADO</vt:lpstr>
      <vt:lpstr>DESCARTADO</vt:lpstr>
      <vt:lpstr>'CP BDI DIFERENCIADO'!Area_de_impressao</vt:lpstr>
      <vt:lpstr>'CP BDI OBRA'!Area_de_impressao</vt:lpstr>
      <vt:lpstr>CRONOGRAMA!Area_de_impressao</vt:lpstr>
      <vt:lpstr>ORÇAMENTO!Area_de_impressao</vt:lpstr>
      <vt:lpstr>ORÇAMENTO!Titulos_de_impressao</vt:lpstr>
    </vt:vector>
  </TitlesOfParts>
  <Company>SESC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dc:description/>
  <cp:lastModifiedBy>SSLICOM</cp:lastModifiedBy>
  <cp:revision>1</cp:revision>
  <cp:lastPrinted>2024-10-08T19:42:13Z</cp:lastPrinted>
  <dcterms:created xsi:type="dcterms:W3CDTF">2011-12-07T12:53:10Z</dcterms:created>
  <dcterms:modified xsi:type="dcterms:W3CDTF">2024-10-15T19:55:29Z</dcterms:modified>
  <dc:language>pt-BR</dc:language>
</cp:coreProperties>
</file>