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Temporário\Bruna\"/>
    </mc:Choice>
  </mc:AlternateContent>
  <bookViews>
    <workbookView xWindow="0" yWindow="0" windowWidth="25125" windowHeight="12330"/>
  </bookViews>
  <sheets>
    <sheet name="PLANILHA" sheetId="2" r:id="rId1"/>
    <sheet name="CRONOGRAMA" sheetId="3" r:id="rId2"/>
  </sheets>
  <definedNames>
    <definedName name="_xlnm._FilterDatabase" localSheetId="0" hidden="1">PLANILHA!$A$8:$L$59</definedName>
    <definedName name="_xlnm.Print_Area" localSheetId="1">CRONOGRAMA!$A$1:$H$35</definedName>
    <definedName name="_xlnm.Print_Area" localSheetId="0">PLANILHA!$A$1:$H$60</definedName>
    <definedName name="_xlnm.Print_Titles" localSheetId="0">PLANILHA!$1:$8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2" l="1"/>
  <c r="F49" i="2"/>
  <c r="F41" i="2"/>
  <c r="F38" i="2"/>
  <c r="F26" i="2"/>
  <c r="F20" i="2"/>
  <c r="F18" i="2"/>
  <c r="G18" i="2" s="1"/>
  <c r="D28" i="2" l="1"/>
  <c r="D29" i="2" s="1"/>
  <c r="D27" i="2"/>
  <c r="D26" i="2"/>
  <c r="F30" i="2"/>
  <c r="G15" i="2"/>
  <c r="G14" i="2"/>
  <c r="G16" i="2" l="1"/>
  <c r="H14" i="2"/>
  <c r="G13" i="2"/>
  <c r="G12" i="2"/>
  <c r="H12" i="2" s="1"/>
  <c r="G11" i="2"/>
  <c r="D32" i="2" l="1"/>
  <c r="G40" i="2" l="1"/>
  <c r="G41" i="2"/>
  <c r="G39" i="2"/>
  <c r="G38" i="2"/>
  <c r="H38" i="2" s="1"/>
  <c r="D58" i="2" l="1"/>
  <c r="D57" i="2" l="1"/>
  <c r="D56" i="2"/>
  <c r="D59" i="2"/>
  <c r="D55" i="2"/>
  <c r="D53" i="2"/>
  <c r="G52" i="2"/>
  <c r="H52" i="2" s="1"/>
  <c r="G49" i="2"/>
  <c r="H49" i="2" s="1"/>
  <c r="G50" i="2"/>
  <c r="H50" i="2" s="1"/>
  <c r="G11" i="3" l="1"/>
  <c r="F11" i="3"/>
  <c r="E11" i="3"/>
  <c r="G29" i="3"/>
  <c r="F29" i="3"/>
  <c r="H29" i="3" s="1"/>
  <c r="E29" i="3"/>
  <c r="G26" i="3"/>
  <c r="H26" i="3" s="1"/>
  <c r="F26" i="3"/>
  <c r="E26" i="3"/>
  <c r="G23" i="3"/>
  <c r="F23" i="3"/>
  <c r="E23" i="3"/>
  <c r="G20" i="3"/>
  <c r="F20" i="3"/>
  <c r="E20" i="3"/>
  <c r="H20" i="3" s="1"/>
  <c r="F17" i="3"/>
  <c r="G17" i="3"/>
  <c r="E17" i="3"/>
  <c r="F14" i="3"/>
  <c r="G14" i="3"/>
  <c r="E14" i="3"/>
  <c r="H14" i="3" s="1"/>
  <c r="F8" i="3"/>
  <c r="G8" i="3"/>
  <c r="E8" i="3"/>
  <c r="H17" i="3"/>
  <c r="H11" i="3"/>
  <c r="H23" i="3"/>
  <c r="H18" i="2"/>
  <c r="H17" i="2" s="1"/>
  <c r="D16" i="2"/>
  <c r="H16" i="2" s="1"/>
  <c r="G56" i="2"/>
  <c r="H56" i="2" s="1"/>
  <c r="G57" i="2"/>
  <c r="H57" i="2" s="1"/>
  <c r="G58" i="2"/>
  <c r="H58" i="2" s="1"/>
  <c r="G59" i="2"/>
  <c r="H59" i="2" s="1"/>
  <c r="G53" i="2"/>
  <c r="H53" i="2" s="1"/>
  <c r="H51" i="2" s="1"/>
  <c r="G44" i="2"/>
  <c r="G45" i="2"/>
  <c r="G46" i="2"/>
  <c r="G47" i="2"/>
  <c r="G48" i="2"/>
  <c r="G43" i="2"/>
  <c r="H43" i="2" s="1"/>
  <c r="G32" i="2"/>
  <c r="H32" i="2" s="1"/>
  <c r="G33" i="2"/>
  <c r="H33" i="2" s="1"/>
  <c r="G34" i="2"/>
  <c r="G35" i="2"/>
  <c r="H35" i="2" s="1"/>
  <c r="G36" i="2"/>
  <c r="H36" i="2" s="1"/>
  <c r="G31" i="2"/>
  <c r="H31" i="2" s="1"/>
  <c r="G21" i="2"/>
  <c r="H21" i="2" s="1"/>
  <c r="G22" i="2"/>
  <c r="H22" i="2" s="1"/>
  <c r="G23" i="2"/>
  <c r="H23" i="2" s="1"/>
  <c r="G24" i="2"/>
  <c r="G25" i="2"/>
  <c r="G27" i="2"/>
  <c r="H27" i="2" s="1"/>
  <c r="G28" i="2"/>
  <c r="H28" i="2" s="1"/>
  <c r="G29" i="2"/>
  <c r="H29" i="2" s="1"/>
  <c r="G20" i="2"/>
  <c r="H20" i="2" s="1"/>
  <c r="D37" i="2"/>
  <c r="G26" i="2"/>
  <c r="H26" i="2" s="1"/>
  <c r="D15" i="2"/>
  <c r="H15" i="2" s="1"/>
  <c r="D13" i="2"/>
  <c r="H13" i="2" s="1"/>
  <c r="D39" i="2" l="1"/>
  <c r="H39" i="2" s="1"/>
  <c r="D41" i="2"/>
  <c r="H41" i="2" s="1"/>
  <c r="H8" i="3"/>
  <c r="D34" i="2"/>
  <c r="H34" i="2" s="1"/>
  <c r="H30" i="2" s="1"/>
  <c r="D40" i="2" l="1"/>
  <c r="H40" i="2" s="1"/>
  <c r="H37" i="2" s="1"/>
  <c r="C27" i="3"/>
  <c r="D24" i="2"/>
  <c r="D11" i="2"/>
  <c r="H11" i="2" s="1"/>
  <c r="H10" i="2" s="1"/>
  <c r="D25" i="2" l="1"/>
  <c r="H25" i="2" s="1"/>
  <c r="H24" i="2"/>
  <c r="H19" i="2" s="1"/>
  <c r="C12" i="3"/>
  <c r="G27" i="3"/>
  <c r="F27" i="3"/>
  <c r="E27" i="3"/>
  <c r="C9" i="3" l="1"/>
  <c r="E12" i="3"/>
  <c r="F12" i="3"/>
  <c r="G12" i="3"/>
  <c r="H27" i="3"/>
  <c r="D47" i="2"/>
  <c r="H47" i="2" s="1"/>
  <c r="F55" i="2"/>
  <c r="H12" i="3" l="1"/>
  <c r="E9" i="3"/>
  <c r="G9" i="3"/>
  <c r="F9" i="3"/>
  <c r="C15" i="3"/>
  <c r="C18" i="3"/>
  <c r="C21" i="3"/>
  <c r="G55" i="2"/>
  <c r="H55" i="2" s="1"/>
  <c r="H54" i="2" s="1"/>
  <c r="D44" i="2"/>
  <c r="D46" i="2"/>
  <c r="H46" i="2" s="1"/>
  <c r="D45" i="2" l="1"/>
  <c r="H45" i="2" s="1"/>
  <c r="H44" i="2"/>
  <c r="H9" i="3"/>
  <c r="F21" i="3"/>
  <c r="G21" i="3"/>
  <c r="E21" i="3"/>
  <c r="C30" i="3"/>
  <c r="F18" i="3"/>
  <c r="E18" i="3"/>
  <c r="G18" i="3"/>
  <c r="E15" i="3"/>
  <c r="F15" i="3"/>
  <c r="G15" i="3"/>
  <c r="D48" i="2"/>
  <c r="H48" i="2" s="1"/>
  <c r="H42" i="2" l="1"/>
  <c r="H9" i="2" s="1"/>
  <c r="H21" i="3"/>
  <c r="F30" i="3"/>
  <c r="G30" i="3"/>
  <c r="E30" i="3"/>
  <c r="H15" i="3"/>
  <c r="H18" i="3"/>
  <c r="C24" i="3" l="1"/>
  <c r="F24" i="3" s="1"/>
  <c r="F31" i="3" s="1"/>
  <c r="F33" i="3" s="1"/>
  <c r="H30" i="3"/>
  <c r="G24" i="3" l="1"/>
  <c r="G31" i="3" s="1"/>
  <c r="C31" i="3"/>
  <c r="C23" i="3" s="1"/>
  <c r="E24" i="3"/>
  <c r="E31" i="3" s="1"/>
  <c r="E33" i="3" s="1"/>
  <c r="E34" i="3" s="1"/>
  <c r="F34" i="3" s="1"/>
  <c r="H24" i="3" l="1"/>
  <c r="H31" i="3" s="1"/>
  <c r="C29" i="3"/>
  <c r="C11" i="3"/>
  <c r="C20" i="3"/>
  <c r="C14" i="3"/>
  <c r="E32" i="3"/>
  <c r="E35" i="3" s="1"/>
  <c r="C17" i="3"/>
  <c r="C26" i="3"/>
  <c r="F32" i="3"/>
  <c r="G32" i="3"/>
  <c r="G33" i="3"/>
  <c r="H33" i="3" s="1"/>
  <c r="C8" i="3"/>
  <c r="F35" i="3" l="1"/>
  <c r="G35" i="3" s="1"/>
  <c r="H35" i="3" s="1"/>
  <c r="H32" i="3"/>
  <c r="G34" i="3"/>
  <c r="H34" i="3" s="1"/>
</calcChain>
</file>

<file path=xl/sharedStrings.xml><?xml version="1.0" encoding="utf-8"?>
<sst xmlns="http://schemas.openxmlformats.org/spreadsheetml/2006/main" count="231" uniqueCount="158">
  <si>
    <t>M</t>
  </si>
  <si>
    <t>M2</t>
  </si>
  <si>
    <t>QUANT.</t>
  </si>
  <si>
    <t>ASSENTAMENTO DE GUIA (MEIO-FIO) EM TRECHO RETO, CONFECCIONADA EM CONCRETO PRÉ-FABRICADO, DIMENSÕES 100X15X13X30 CM (COMPRIMENTO X BASE INFERIOR X BASE SUPERIOR X ALTURA), PARA VIAS URBANAS (USO VIÁRIO)</t>
  </si>
  <si>
    <t>UNID.</t>
  </si>
  <si>
    <t>R$</t>
  </si>
  <si>
    <t>M3</t>
  </si>
  <si>
    <t>102713
I-4019</t>
  </si>
  <si>
    <t>GEOTÊXTIL NÃO TECIDO 100% POLIÉSTER, RESISTÊNCIA A TRAÇÃO DE 16 KN/M (RT - 16), INSTALADO EM DRENO - FORNECIMENTO E INSTALAÇÃO</t>
  </si>
  <si>
    <t>LASTRO COM MATERIAL GRANULAR (PEDRA BRITADA N.1 E PEDRA BRITADA N.2), APLICADO EM PISOS OU LAJES SOBRE SOLO, ESPESSURA DE *10 CM*</t>
  </si>
  <si>
    <t>LASTRO COM MATERIAL GRANULAR (AREIA MÉDIA), APLICADO EM PISOS OU LAJES SOBRE SOLO, ESPESSURA DE *10 CM*</t>
  </si>
  <si>
    <t>REMOÇÃO MANUAL DE GUIA DE MEIO-FIO PRÉ-MOLDADA EM CONCRETO, COM REAPROVEITAMENTO, INCLUSIVE AFASTAMENTO E EMPILHAMENTO, EXCLUSIVE TRANSPORTE E RETIRADA DO MATERIAL REMOVIDO NÃO REAPROVEITÁVEL</t>
  </si>
  <si>
    <t>EXECUÇÃO DE PASSEIO (CALÇADA) OU PISO DE CONCRETO COM CONCRETO MOLDADO IN LOCO, FEITO EM OBRA, ACABAMENTO CONVENCIONAL, ESPESSURA 8 CM, ARMADO</t>
  </si>
  <si>
    <t>I-9867</t>
  </si>
  <si>
    <t xml:space="preserve">TUBO PVC, SOLDAVEL, DE 20 MM, AGUA FRIA (NBR-5648) </t>
  </si>
  <si>
    <t>ALVENARIA DE VEDAÇÃO DE BLOCOS VAZADOS DE CONCRETO DE 14X19X39 CM (ESPESSURA 14 CM) E ARGAMASSA DE ASSENTAMENTO COM PREPARO EM BETONEIRA</t>
  </si>
  <si>
    <t>CHAPISCO APLICADO EM ALVENARIA (SEM PRESENÇA DE VÃOS) E ESTRUTURAS DE CONCRETO DE FACHADA, COM COLHER DE PEDREIRO. ARGAMASSA TRAÇO 1:3 COM PREPARO EM BETONEIRA 400L</t>
  </si>
  <si>
    <t>EMBOÇO OU MASSA ÚNICA EM ARGAMASSA TRAÇO 1:2:8, PREPARO MECÂNICO COM BETONEIRA 400 L, APLICADA MANUALMENTE EM PANOS DE FACHADA COM PRESENÇA DE VÃOS, ESPESSURA DE 25 MM</t>
  </si>
  <si>
    <t>T</t>
  </si>
  <si>
    <t>DEMOLIÇÃO E REMOÇÃO</t>
  </si>
  <si>
    <t>PREÇO UNITÁRIO</t>
  </si>
  <si>
    <t>SEM BDI</t>
  </si>
  <si>
    <t>COM BDI</t>
  </si>
  <si>
    <t>PREÇO TOTAL COM BDI</t>
  </si>
  <si>
    <t>DESCRIÇÃO</t>
  </si>
  <si>
    <t>ITEM</t>
  </si>
  <si>
    <t>DRENAGEM DOS CANTEIROS E FLOREIRAS</t>
  </si>
  <si>
    <t>SERVIÇOS PRELIMINARES</t>
  </si>
  <si>
    <t>1.1</t>
  </si>
  <si>
    <t>1.2</t>
  </si>
  <si>
    <t>1.3</t>
  </si>
  <si>
    <t>1.4</t>
  </si>
  <si>
    <t>2.1</t>
  </si>
  <si>
    <t>3.1</t>
  </si>
  <si>
    <t>3.3</t>
  </si>
  <si>
    <t>4.1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</si>
  <si>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</si>
  <si>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</si>
  <si>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</si>
  <si>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</si>
  <si>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</si>
  <si>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</si>
  <si>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</si>
  <si>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</si>
  <si>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</si>
  <si>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BARREIRA SIMPLES DE CONCRETO, ARMADA, PRÉ-MOLDADA (PERFIL NEW JERSEY) - L &gt; 3,00 M E H = 1.070 MM</t>
  </si>
  <si>
    <t>PREFEITURA DE JUIZ DE FORA</t>
  </si>
  <si>
    <t>SECRETARIA DE OBRAS</t>
  </si>
  <si>
    <t>SUBSECRETARIA DE GESTÃO DE OBRAS E PROJETOS</t>
  </si>
  <si>
    <t>3.2</t>
  </si>
  <si>
    <t>3.4</t>
  </si>
  <si>
    <t>3.5</t>
  </si>
  <si>
    <t>3.6</t>
  </si>
  <si>
    <t>4.2</t>
  </si>
  <si>
    <t>4.3</t>
  </si>
  <si>
    <t>4.4</t>
  </si>
  <si>
    <t>4.5</t>
  </si>
  <si>
    <t>4.6</t>
  </si>
  <si>
    <t>UNID</t>
  </si>
  <si>
    <t>FORNECIMENTO E INSTALAÇÃO DE PLACA DE OBRA COM CHAPA GALVANIZADA E ESTRUTURA DE MADEIRA (2,40M x 1,20M)</t>
  </si>
  <si>
    <t>TXKM</t>
  </si>
  <si>
    <t>CARGA/MANOBRA E DESCARGA DE SEPARADORES FÍSICOS DE CONCRETO EM CAMINHÃO CARROCERIA COM GUINDAUTO (MUNCK) 11,7 TM</t>
  </si>
  <si>
    <t>TRANSPORTE DE SEPARADORES FÍSICOS DE CONCRETO COM CAMINHÃO CARROCERIA COM GUINDAUTO (MUNCK), MOMENTO MÁXIMO DE CARGA 11,7 TM, EM VIA INTERNA (DENTRO DO CANTEIRO) (ADOTADO: 35 CAMINHÕES x 0,270M/VIAGEM)</t>
  </si>
  <si>
    <t xml:space="preserve">FLOREIRAS DE BLOCO DE CONCRETO H=40 CM </t>
  </si>
  <si>
    <t>FUNDO SELADOR ACRÍLICO, APLICAÇÃO MANUAL EM PAREDE, UMA DEMÃO (FACE EXTERNA)</t>
  </si>
  <si>
    <t>PINTURA LÁTEX ACRÍLICA PREMIUM, APLICAÇÃO MANUAL EM PAREDES, DUAS DEMÃOS (FACE EXTERNA)</t>
  </si>
  <si>
    <t>IMPERMEABILIZAÇÃO DE SUPERFÍCIE COM EMULSÃO ASFÁLTICA, 2 DEMÃOS (FACE INTERNA)</t>
  </si>
  <si>
    <t>LASTRO DE CONCRETO MAGRO, APLICADO EM PISOS, LAJES SOBRE SOLO OU RADIERS, ESPESSURA DE PROJETO: 4 CM</t>
  </si>
  <si>
    <t>EXECUÇÃO DE PASSEIO EM PISO INTERTRAVADO, COM BLOCO RETANGULAR COR NATURAL DE 20 X 10 CM, ESPESSURA 6 CM, INCLUSIVE COLCHÃO DE AREIA</t>
  </si>
  <si>
    <t>7.1</t>
  </si>
  <si>
    <t>7.2</t>
  </si>
  <si>
    <t>M3093</t>
  </si>
  <si>
    <t>TELA DE POLIAMIDA / NYLON - MALHA DE 60 FIOS/CM</t>
  </si>
  <si>
    <t>TAPUME COM TELHA METÁLICA H=2,20M (EXTREMIDADES DO TRECHO EM OBRA)</t>
  </si>
  <si>
    <t>1.5</t>
  </si>
  <si>
    <t>MÊS</t>
  </si>
  <si>
    <t>EXECUÇÃO DE ALMOXARIFADO EM CANTEIRO DE OBRA EM CHAPA DE MADEIRA COMPENSADA, INCLUSO PRATELEIRAS</t>
  </si>
  <si>
    <t>3.7</t>
  </si>
  <si>
    <t>3.8</t>
  </si>
  <si>
    <t>3.9</t>
  </si>
  <si>
    <t>3.10</t>
  </si>
  <si>
    <t>M3xKM</t>
  </si>
  <si>
    <t>REMOÇÃO MECANIZADA DE SEPARADORES FÍSICOS DE CONCRETO COM CAMINHÃO CARROCERIA COM GUINDAUTO COM CAPACIDADE DE 45 T.M - 188 KW</t>
  </si>
  <si>
    <t>RELOCAÇÃO MECANIZADA DE SEPARADORES FÍSICOS DE CONCRETO COM CAMINHÃO CARROCERIA COM GUINDAUTO COM CAPACIDADE DE 45 T.M - 188 KW</t>
  </si>
  <si>
    <t>REMOÇÃO DE SEPARADOR FÍSICO / DEFENSA METÁLICA</t>
  </si>
  <si>
    <t>LANÇAMENTO COM USO DE BOMBA, ADENSAMENTO E ACABAMENTO DE CONCRETO EM ESTRUTURAS</t>
  </si>
  <si>
    <t>I-1525</t>
  </si>
  <si>
    <t>TRAFIC CALMING</t>
  </si>
  <si>
    <t>6.6</t>
  </si>
  <si>
    <t>6.7</t>
  </si>
  <si>
    <t>6.8</t>
  </si>
  <si>
    <t>8.1</t>
  </si>
  <si>
    <t>8.2</t>
  </si>
  <si>
    <t>8.3</t>
  </si>
  <si>
    <t>8.4</t>
  </si>
  <si>
    <t>8.5</t>
  </si>
  <si>
    <t>OBRA: URBANIZAÇÃO DE TRECHO DA BR440 - JUIZ DE FORA/MG</t>
  </si>
  <si>
    <t>BDI ONERADO:</t>
  </si>
  <si>
    <t>CRONOGRAMA FÍSICO-FINANCEIRO REFERENCIAL</t>
  </si>
  <si>
    <t>SERVIÇOS</t>
  </si>
  <si>
    <t>TOTAL (R$)</t>
  </si>
  <si>
    <t>FINANC.</t>
  </si>
  <si>
    <t>1º MÊS</t>
  </si>
  <si>
    <t>2º MÊS</t>
  </si>
  <si>
    <t>3º MÊS</t>
  </si>
  <si>
    <t>VALOR TOTAL</t>
  </si>
  <si>
    <t>-</t>
  </si>
  <si>
    <t>Físico</t>
  </si>
  <si>
    <t>%</t>
  </si>
  <si>
    <t>VALORES TOTAIS</t>
  </si>
  <si>
    <t>PERCENTUAL MENSAL (%)</t>
  </si>
  <si>
    <t>VALOR TOTAL MENSAL (R$)</t>
  </si>
  <si>
    <t>VALOR TOTAL MENSAL ACUMULADO (R$)</t>
  </si>
  <si>
    <t>PERCENTUAL MENSAL ACUMULADO (%)</t>
  </si>
  <si>
    <t>ADMINISTRAÇÃO LOCAL DE OBRA</t>
  </si>
  <si>
    <t>CANTEIROS EM MEIO-FIO PRÉ-MOLDADO</t>
  </si>
  <si>
    <t>PLANTIO DE GRAMA ESMERALDA OU SÃO CARLOS OU CURITIBANA, EM PLACAS, INCLUSIVE TERRA VEGETAL, ESPESSURA: 0,045M</t>
  </si>
  <si>
    <t>ATERRO MECANIZADO DE VALA COM MINICARREGADEIRA, COM SOLO ARGILO-ARENOSO, INCLUISVE TRANSPORTE ATE 10 KM, ESPESSURA: 0,17M</t>
  </si>
  <si>
    <t>CICLOFAIXA E CALÇADA</t>
  </si>
  <si>
    <t>ENGENHEIRO CIVIL DE OBRA JUNIOR COM ENCARGOS COMPLEMENTARES (3 MESES) / ENCARREGADO GERAL DE OBRAS COM ENCARGOS COMPLEMENTARES (3 MESES) / VIGIA DIURNO COM ENCARGOS COMPLEMENTARES (DIURNO (SEG. A SEXTA): 05H ÀS 07H / 17H ÀS 22H = 7H/DIA) / VIGIA DIURNO COM ENCARGOS COMPLEMENTARES (DIURNO (SÁB. E DOM.): 17H/DIA) / VIGIA NOTURNO COM ENCARGOS COMPLEMENTARES (NOTURNO (SEG. A SEG.): 22H ÀS 05H = 7H/DIA)</t>
  </si>
  <si>
    <t>97636A</t>
  </si>
  <si>
    <t>CORTE MECANIZADO DE PAVIMENTO ASFÁLTICO COM EQUIPAMENTO MANUAL (CORTADORA DE PISO E SERRA DE CORTE P/ CONCRETO/ASFALTO) DESTINADO A IMPLANTAÇÃO DE MEIO-FIO</t>
  </si>
  <si>
    <t>BDI DIFERENCIADO:</t>
  </si>
  <si>
    <t>PLANILHA ORÇAMENTÁRIA REFERENCIAL</t>
  </si>
  <si>
    <t>CONCRETO USINADO BOMBEAVEL, CLASSE DE RESISTENCIA C30, BRITA 0 E 1, SLUMP = 100 +/- 20 MM, COM BOMBEAMENTO (DISPONIBILIZACAO DE BOMBA), SEM O LANCAMENTO (NBR 8953) &gt; OBS.: PEÇA DE CONCRETO PARA TRAVAMENTO DO PISO INTERTRAVADO NAS EXTREMIDADES DAS FAIXAS DOS TRAFIC CALMING</t>
  </si>
  <si>
    <t>102098A</t>
  </si>
  <si>
    <t>RECOMPOSIÇÃO DE REVESTIMENTO EM CONCRETO ASFÁLTICO (AQUISIÇÃO EM USINA), PARA ARREMATE ENTRE TRAVAMENTO EM CONCRETO E ASFALTO EXISTENTE</t>
  </si>
  <si>
    <t>LOCAÇÃO DE CONTAINER 2,30 X 6,00 M, ALT. 2,50 M, COM 1 SANITARIO, PARA ESCRITORIO, COMPLETO, SEM DIVISORIAS INTERNAS (NAO INCLUI MOBILIZACAO/DESMOBILIZACAO) &gt; (BDI DIFERENCIADO)</t>
  </si>
  <si>
    <t>LOCAÇÃO DE CONTAINER 2,30 X 6,00 M, ALT. 2,50 M, PARA SANITARIO, COM 4 BACIAS, 8 CHUVEIROS,1 LAVATORIO E 1 MICTORIO (NAO INCLUI MOBILIZACAO/DESMOBILIZACAO) &gt; (BDI DIFERENCIADO)</t>
  </si>
  <si>
    <t>1.6</t>
  </si>
  <si>
    <t>FORNECIMENTO E INSTALAÇÃO DE SUPORTE DE MADEIRA PARA PLACAS DE SINALIZAÇÃO, EM BASE DE CONCRETO, COM H= DE 2,0 M E SEÇÃO DE 7,5 X 7,5 CM</t>
  </si>
  <si>
    <r>
      <t xml:space="preserve">COEF.:ED-48472 </t>
    </r>
    <r>
      <rPr>
        <sz val="9"/>
        <color theme="1"/>
        <rFont val="Calibri"/>
        <family val="2"/>
        <scheme val="minor"/>
      </rPr>
      <t>(MO:88309/88316)</t>
    </r>
  </si>
  <si>
    <t>VALOR TOTAL COM BDI ONERADO = 23,00%, EXCETO ITENS: 1.4 E 1.5 COM BDI DIFERENCIADO = 16,80%</t>
  </si>
  <si>
    <t>OBS:</t>
  </si>
  <si>
    <t>93681A</t>
  </si>
  <si>
    <t>TACHÃO REFLETIVO EM RESINA SINTÉTICA - BIDIRECIONAL - DIM.: 25x15x5CM, FORNECIMENTO E COLOCAÇÃO, INCLUSIVE TRANSPORTE ATÉ OS LOCAIS DE INSTALAÇÃO NA OBRA</t>
  </si>
  <si>
    <t>ESCAVAÇÃO MANUAL DE ASFALTO &gt; OBS.: PARA EXECUÇÃO DE MEIO-FIO</t>
  </si>
  <si>
    <t>CARGA, MANOBRA E DESCARGA DE ENTULHO EM CAMINHÃO BASCULANTE 10 M³ - CARGA COM ESCAVADEIRA HIDRÁULICA (CAÇAMBA DE 0,80 M³ / 111 HP) E DESCARGA LIVRE, INCLUSIVE EMPOLAMENTO = 30% &gt; OBS.: MATERIAL DEMOLIDO PARA EXECUÇÃO DE MEIO-FIO</t>
  </si>
  <si>
    <t>TRANSPORTE COM CAMINHÃO BASCULANTE DE 10 M³, EM VIA URBANA PAVIMENTADA, DMT ATÉ 30 KM (DMT ATÉ BOTA FORA MAIS PRÓXIMO DA OBRA: 8,70KM), INCLUSIVE EMPOLAMENTO = 30% &gt; OBS.: MATERIAL DEMOLIDO PARA EXECUÇÃO DE MEIO-FIO</t>
  </si>
  <si>
    <t>A PINTURA DA CICLOFAIXA INDICADA EM PROJETO (5.600,00 M2) E DO TRAFICC CALMING NÃO FAZEM PARTE DO ESCOPO DESTA PLANILHA, POIS SERÃO EXECUTADAS POR TERCEIROS.</t>
  </si>
  <si>
    <t>TRAFICC CALMING EM BLOCO INTERTRAVADO RETANGULAR COLORIDO (VERMELHO E AMARELO) DE 20 X 8 CM, ESPESSURA 8 CM, RESISTÊNCIA MÍNIMA DE 35 MPA (NBR 9781), INCLUSIVE COLCHÃO DE PÓ DE PEDRA E=0,08M</t>
  </si>
  <si>
    <t>TRAFICC CALMING, CONFORME DETALHE DO PROJETO (PRANCHA: 06/08)</t>
  </si>
  <si>
    <t>ADMINISTRAÇÃO LOCAL DA OBRA</t>
  </si>
  <si>
    <t>FLOREIRA EM BLOCO DE CONCRETO H=40 CM,  CONFORME DETALHE DO PROJETO (PRANCHA: 06/08)</t>
  </si>
  <si>
    <t>CANTEIROS EM MEIO-FIO PRÉ-MOLDADO,  CONFORME DETALHE DO PROJETO (PRANCHA: 06/08)</t>
  </si>
  <si>
    <t>DRENAGEM DOS CANTEIROS E FLOREIRAS, CONFORME DETALHE DO PROJETO (PRANCHA: 06/08)</t>
  </si>
  <si>
    <t>CICLOFAIXA E CALÇADA, CONFORME DETALHE DO PROJETO (PRANCHA: 06/08)</t>
  </si>
  <si>
    <t>DEMOLIÇÃO E REMOÇÃO, CONFORME TABELA DO PROJETO (PRANCHAS: 01/08 A 05/08)</t>
  </si>
  <si>
    <r>
      <t xml:space="preserve">REF. ONERADA
</t>
    </r>
    <r>
      <rPr>
        <b/>
        <sz val="10"/>
        <rFont val="Calibri"/>
        <family val="2"/>
        <scheme val="minor"/>
      </rPr>
      <t>SINAPI 12/2023
SICRO 07/2023</t>
    </r>
  </si>
  <si>
    <t>ATERRO MECANIZADO DE VALA COM MINICARREGADEIRA, COM SOLO ARGILO-ARENOSO, INCLUSIVE TRANSPORTE ATE 10 KM, ESPESSURA: 0,33M</t>
  </si>
  <si>
    <t>104738
I-6081</t>
  </si>
  <si>
    <t>SICRO
5219643</t>
  </si>
  <si>
    <t>SICRO 
3713705</t>
  </si>
  <si>
    <t>SICRO 
3713904A
(MO/EQ)</t>
  </si>
  <si>
    <t>SICRO
3713904A
(MO/EQ)</t>
  </si>
  <si>
    <t>SICRO
3713904</t>
  </si>
  <si>
    <t>(93565
93572)
(100289)
(100289A
I-41776)</t>
  </si>
  <si>
    <t>DATA: 18/01/2024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</si>
</sst>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rgb="FFFFFF99"/>
        <bgColor indexed="3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10" fontId="1" fillId="0" borderId="0" xfId="0" applyNumberFormat="1" applyFont="1" applyAlignment="1">
      <alignment vertical="center"/>
    </xf>
    <xf numFmtId="4" fontId="0" fillId="0" borderId="1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0" fontId="11" fillId="0" borderId="0" xfId="2" applyAlignment="1">
      <alignment vertical="center"/>
    </xf>
    <xf numFmtId="0" fontId="13" fillId="4" borderId="16" xfId="1" applyFont="1" applyFill="1" applyBorder="1" applyAlignment="1">
      <alignment horizontal="center" vertical="center"/>
    </xf>
    <xf numFmtId="4" fontId="15" fillId="0" borderId="17" xfId="1" applyNumberFormat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5" borderId="17" xfId="1" applyFont="1" applyFill="1" applyBorder="1" applyAlignment="1">
      <alignment vertical="center"/>
    </xf>
    <xf numFmtId="0" fontId="15" fillId="0" borderId="17" xfId="1" applyFont="1" applyBorder="1" applyAlignment="1">
      <alignment vertical="center"/>
    </xf>
    <xf numFmtId="10" fontId="15" fillId="0" borderId="17" xfId="1" applyNumberFormat="1" applyFont="1" applyBorder="1" applyAlignment="1">
      <alignment horizontal="right" vertical="center"/>
    </xf>
    <xf numFmtId="10" fontId="16" fillId="0" borderId="17" xfId="1" applyNumberFormat="1" applyFont="1" applyFill="1" applyBorder="1" applyAlignment="1">
      <alignment horizontal="center" vertical="center"/>
    </xf>
    <xf numFmtId="10" fontId="15" fillId="0" borderId="17" xfId="1" applyNumberFormat="1" applyFont="1" applyFill="1" applyBorder="1" applyAlignment="1">
      <alignment horizontal="center" vertical="center"/>
    </xf>
    <xf numFmtId="4" fontId="15" fillId="0" borderId="17" xfId="1" applyNumberFormat="1" applyFont="1" applyBorder="1" applyAlignment="1">
      <alignment horizontal="right" vertical="center"/>
    </xf>
    <xf numFmtId="40" fontId="15" fillId="0" borderId="17" xfId="1" applyNumberFormat="1" applyFont="1" applyBorder="1" applyAlignment="1">
      <alignment vertical="center"/>
    </xf>
    <xf numFmtId="40" fontId="15" fillId="0" borderId="17" xfId="1" applyNumberFormat="1" applyFont="1" applyFill="1" applyBorder="1" applyAlignment="1">
      <alignment vertical="center"/>
    </xf>
    <xf numFmtId="0" fontId="15" fillId="6" borderId="17" xfId="1" applyFont="1" applyFill="1" applyBorder="1" applyAlignment="1">
      <alignment vertical="center"/>
    </xf>
    <xf numFmtId="4" fontId="13" fillId="8" borderId="17" xfId="1" applyNumberFormat="1" applyFont="1" applyFill="1" applyBorder="1" applyAlignment="1">
      <alignment vertical="center"/>
    </xf>
    <xf numFmtId="10" fontId="15" fillId="0" borderId="17" xfId="1" applyNumberFormat="1" applyFont="1" applyFill="1" applyBorder="1" applyAlignment="1">
      <alignment vertical="center"/>
    </xf>
    <xf numFmtId="10" fontId="17" fillId="0" borderId="17" xfId="1" applyNumberFormat="1" applyFont="1" applyFill="1" applyBorder="1" applyAlignment="1">
      <alignment vertical="center"/>
    </xf>
    <xf numFmtId="10" fontId="18" fillId="0" borderId="0" xfId="2" applyNumberFormat="1" applyFont="1" applyAlignment="1">
      <alignment vertical="center"/>
    </xf>
    <xf numFmtId="10" fontId="1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horizontal="justify" vertical="center" wrapText="1"/>
    </xf>
    <xf numFmtId="14" fontId="5" fillId="0" borderId="19" xfId="0" applyNumberFormat="1" applyFont="1" applyBorder="1" applyAlignment="1">
      <alignment horizontal="center" vertical="center"/>
    </xf>
    <xf numFmtId="14" fontId="5" fillId="0" borderId="20" xfId="0" applyNumberFormat="1" applyFont="1" applyBorder="1" applyAlignment="1">
      <alignment horizontal="center" vertical="center"/>
    </xf>
    <xf numFmtId="14" fontId="5" fillId="0" borderId="21" xfId="0" applyNumberFormat="1" applyFont="1" applyBorder="1" applyAlignment="1">
      <alignment horizontal="center" vertical="center"/>
    </xf>
    <xf numFmtId="14" fontId="5" fillId="0" borderId="22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/>
    </xf>
    <xf numFmtId="1" fontId="14" fillId="0" borderId="17" xfId="1" applyNumberFormat="1" applyFont="1" applyFill="1" applyBorder="1" applyAlignment="1" applyProtection="1">
      <alignment horizontal="center" vertical="center"/>
    </xf>
    <xf numFmtId="1" fontId="14" fillId="0" borderId="17" xfId="1" applyNumberFormat="1" applyFont="1" applyBorder="1" applyAlignment="1">
      <alignment horizontal="center" vertical="center" wrapText="1"/>
    </xf>
    <xf numFmtId="40" fontId="14" fillId="0" borderId="17" xfId="1" applyNumberFormat="1" applyFont="1" applyFill="1" applyBorder="1" applyAlignment="1">
      <alignment horizontal="center" vertical="center"/>
    </xf>
    <xf numFmtId="0" fontId="14" fillId="0" borderId="17" xfId="1" applyFont="1" applyFill="1" applyBorder="1" applyAlignment="1">
      <alignment horizontal="center" vertical="center"/>
    </xf>
    <xf numFmtId="14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0" fontId="14" fillId="7" borderId="17" xfId="1" applyNumberFormat="1" applyFont="1" applyFill="1" applyBorder="1" applyAlignment="1">
      <alignment horizontal="center" vertical="center"/>
    </xf>
    <xf numFmtId="4" fontId="13" fillId="8" borderId="17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66353</xdr:colOff>
      <xdr:row>0</xdr:row>
      <xdr:rowOff>65430</xdr:rowOff>
    </xdr:from>
    <xdr:to>
      <xdr:col>1</xdr:col>
      <xdr:colOff>2004391</xdr:colOff>
      <xdr:row>2</xdr:row>
      <xdr:rowOff>141631</xdr:rowOff>
    </xdr:to>
    <xdr:pic>
      <xdr:nvPicPr>
        <xdr:cNvPr id="2" name="Imagem 1" descr="Novo timbre PJF.S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353" y="65430"/>
          <a:ext cx="2335603" cy="531744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46892</xdr:colOff>
      <xdr:row>0</xdr:row>
      <xdr:rowOff>41764</xdr:rowOff>
    </xdr:from>
    <xdr:to>
      <xdr:col>1</xdr:col>
      <xdr:colOff>1499295</xdr:colOff>
      <xdr:row>2</xdr:row>
      <xdr:rowOff>7328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92" y="41764"/>
          <a:ext cx="1738153" cy="397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view="pageBreakPreview" zoomScaleNormal="100" zoomScaleSheetLayoutView="100" workbookViewId="0">
      <pane ySplit="9" topLeftCell="A10" activePane="bottomLeft" state="frozen"/>
      <selection pane="bottomLeft" activeCell="G5" sqref="G5:H6"/>
    </sheetView>
  </sheetViews>
  <sheetFormatPr defaultColWidth="9.140625" defaultRowHeight="15" x14ac:dyDescent="0.25"/>
  <cols>
    <col min="1" max="1" width="6" style="1" customWidth="1"/>
    <col min="2" max="2" width="61.42578125" style="5" customWidth="1"/>
    <col min="3" max="3" width="16.5703125" style="1" customWidth="1"/>
    <col min="4" max="4" width="8.85546875" style="1" bestFit="1" customWidth="1"/>
    <col min="5" max="5" width="8" style="3" bestFit="1" customWidth="1"/>
    <col min="6" max="6" width="12.85546875" style="1" bestFit="1" customWidth="1"/>
    <col min="7" max="7" width="13.42578125" style="1" bestFit="1" customWidth="1"/>
    <col min="8" max="8" width="14.42578125" style="1" customWidth="1"/>
    <col min="9" max="9" width="5.5703125" style="1" customWidth="1"/>
    <col min="10" max="10" width="10.42578125" style="1" customWidth="1"/>
    <col min="11" max="11" width="14" style="1" customWidth="1"/>
    <col min="12" max="12" width="12.5703125" style="1" customWidth="1"/>
    <col min="13" max="16384" width="9.140625" style="1"/>
  </cols>
  <sheetData>
    <row r="1" spans="1:8" ht="20.25" x14ac:dyDescent="0.25">
      <c r="A1" s="78" t="s">
        <v>46</v>
      </c>
      <c r="B1" s="78"/>
      <c r="C1" s="78"/>
      <c r="D1" s="78"/>
      <c r="E1" s="78"/>
      <c r="F1" s="78"/>
      <c r="G1" s="78"/>
      <c r="H1" s="78"/>
    </row>
    <row r="2" spans="1:8" ht="15.75" x14ac:dyDescent="0.25">
      <c r="A2" s="79" t="s">
        <v>47</v>
      </c>
      <c r="B2" s="79"/>
      <c r="C2" s="79"/>
      <c r="D2" s="79"/>
      <c r="E2" s="79"/>
      <c r="F2" s="79"/>
      <c r="G2" s="79"/>
      <c r="H2" s="79"/>
    </row>
    <row r="3" spans="1:8" x14ac:dyDescent="0.25">
      <c r="A3" s="80" t="s">
        <v>48</v>
      </c>
      <c r="B3" s="80"/>
      <c r="C3" s="80"/>
      <c r="D3" s="80"/>
      <c r="E3" s="80"/>
      <c r="F3" s="80"/>
      <c r="G3" s="80"/>
      <c r="H3" s="80"/>
    </row>
    <row r="4" spans="1:8" ht="21" customHeight="1" x14ac:dyDescent="0.25">
      <c r="A4" s="81" t="s">
        <v>123</v>
      </c>
      <c r="B4" s="81"/>
      <c r="C4" s="81"/>
      <c r="D4" s="81"/>
      <c r="E4" s="81"/>
      <c r="F4" s="81"/>
      <c r="G4" s="81"/>
      <c r="H4" s="81"/>
    </row>
    <row r="5" spans="1:8" s="11" customFormat="1" ht="15.75" x14ac:dyDescent="0.25">
      <c r="A5" s="72" t="s">
        <v>96</v>
      </c>
      <c r="B5" s="73"/>
      <c r="C5" s="86" t="s">
        <v>97</v>
      </c>
      <c r="D5" s="87"/>
      <c r="E5" s="87"/>
      <c r="F5" s="39">
        <v>0.23</v>
      </c>
      <c r="G5" s="68" t="s">
        <v>157</v>
      </c>
      <c r="H5" s="69"/>
    </row>
    <row r="6" spans="1:8" s="11" customFormat="1" ht="15.75" x14ac:dyDescent="0.25">
      <c r="A6" s="74"/>
      <c r="B6" s="75"/>
      <c r="C6" s="86" t="s">
        <v>122</v>
      </c>
      <c r="D6" s="87"/>
      <c r="E6" s="87"/>
      <c r="F6" s="39">
        <v>0.16800000000000001</v>
      </c>
      <c r="G6" s="70"/>
      <c r="H6" s="71"/>
    </row>
    <row r="7" spans="1:8" s="4" customFormat="1" ht="22.5" customHeight="1" x14ac:dyDescent="0.25">
      <c r="A7" s="76" t="s">
        <v>25</v>
      </c>
      <c r="B7" s="82" t="s">
        <v>24</v>
      </c>
      <c r="C7" s="83" t="s">
        <v>148</v>
      </c>
      <c r="D7" s="85" t="s">
        <v>2</v>
      </c>
      <c r="E7" s="76" t="s">
        <v>4</v>
      </c>
      <c r="F7" s="76" t="s">
        <v>20</v>
      </c>
      <c r="G7" s="76"/>
      <c r="H7" s="82" t="s">
        <v>23</v>
      </c>
    </row>
    <row r="8" spans="1:8" s="4" customFormat="1" ht="22.5" customHeight="1" x14ac:dyDescent="0.25">
      <c r="A8" s="76"/>
      <c r="B8" s="82"/>
      <c r="C8" s="84"/>
      <c r="D8" s="85"/>
      <c r="E8" s="76"/>
      <c r="F8" s="62" t="s">
        <v>21</v>
      </c>
      <c r="G8" s="62" t="s">
        <v>22</v>
      </c>
      <c r="H8" s="82"/>
    </row>
    <row r="9" spans="1:8" s="4" customFormat="1" x14ac:dyDescent="0.25">
      <c r="A9" s="77" t="s">
        <v>132</v>
      </c>
      <c r="B9" s="77"/>
      <c r="C9" s="77"/>
      <c r="D9" s="77"/>
      <c r="E9" s="77"/>
      <c r="F9" s="77"/>
      <c r="G9" s="77"/>
      <c r="H9" s="12">
        <f>H10+H17+H19+H30+H37+H51+H54+H42</f>
        <v>2735503.57</v>
      </c>
    </row>
    <row r="10" spans="1:8" s="4" customFormat="1" x14ac:dyDescent="0.25">
      <c r="A10" s="62">
        <v>1</v>
      </c>
      <c r="B10" s="7" t="s">
        <v>27</v>
      </c>
      <c r="C10" s="62"/>
      <c r="D10" s="63"/>
      <c r="E10" s="62"/>
      <c r="F10" s="63"/>
      <c r="G10" s="10"/>
      <c r="H10" s="10">
        <f>SUM(H11:H16)</f>
        <v>83509.66</v>
      </c>
    </row>
    <row r="11" spans="1:8" s="4" customFormat="1" ht="32.25" customHeight="1" x14ac:dyDescent="0.25">
      <c r="A11" s="8" t="s">
        <v>28</v>
      </c>
      <c r="B11" s="61" t="s">
        <v>59</v>
      </c>
      <c r="C11" s="8">
        <v>103689</v>
      </c>
      <c r="D11" s="15">
        <f>2.4*1.2</f>
        <v>2.88</v>
      </c>
      <c r="E11" s="8" t="s">
        <v>1</v>
      </c>
      <c r="F11" s="15">
        <v>307.8</v>
      </c>
      <c r="G11" s="14">
        <f>ROUND(F11*($F$5+1),2)</f>
        <v>378.59</v>
      </c>
      <c r="H11" s="14">
        <f t="shared" ref="H11:H16" si="0">ROUND(D11*G11,2)</f>
        <v>1090.3399999999999</v>
      </c>
    </row>
    <row r="12" spans="1:8" s="4" customFormat="1" ht="45" x14ac:dyDescent="0.25">
      <c r="A12" s="8" t="s">
        <v>29</v>
      </c>
      <c r="B12" s="61" t="s">
        <v>130</v>
      </c>
      <c r="C12" s="8">
        <v>103697</v>
      </c>
      <c r="D12" s="15">
        <v>2</v>
      </c>
      <c r="E12" s="8" t="s">
        <v>58</v>
      </c>
      <c r="F12" s="15">
        <v>124.13</v>
      </c>
      <c r="G12" s="14">
        <f>ROUND(F12*($F$5+1),2)</f>
        <v>152.68</v>
      </c>
      <c r="H12" s="14">
        <f t="shared" si="0"/>
        <v>305.36</v>
      </c>
    </row>
    <row r="13" spans="1:8" s="4" customFormat="1" ht="30" x14ac:dyDescent="0.25">
      <c r="A13" s="8" t="s">
        <v>30</v>
      </c>
      <c r="B13" s="61" t="s">
        <v>73</v>
      </c>
      <c r="C13" s="8">
        <v>98459</v>
      </c>
      <c r="D13" s="18">
        <f>2*(30.3+31.424)*2.2</f>
        <v>271.58560000000006</v>
      </c>
      <c r="E13" s="8" t="s">
        <v>1</v>
      </c>
      <c r="F13" s="15">
        <v>133.49</v>
      </c>
      <c r="G13" s="14">
        <f>ROUND(F13*($F$5+1),2)</f>
        <v>164.19</v>
      </c>
      <c r="H13" s="14">
        <f t="shared" si="0"/>
        <v>44591.64</v>
      </c>
    </row>
    <row r="14" spans="1:8" s="4" customFormat="1" ht="47.25" customHeight="1" x14ac:dyDescent="0.25">
      <c r="A14" s="8" t="s">
        <v>31</v>
      </c>
      <c r="B14" s="61" t="s">
        <v>127</v>
      </c>
      <c r="C14" s="8">
        <v>10775</v>
      </c>
      <c r="D14" s="15">
        <v>3</v>
      </c>
      <c r="E14" s="8" t="s">
        <v>75</v>
      </c>
      <c r="F14" s="15">
        <v>960</v>
      </c>
      <c r="G14" s="14">
        <f>ROUND(F14*($F$6+1),2)</f>
        <v>1121.28</v>
      </c>
      <c r="H14" s="14">
        <f t="shared" si="0"/>
        <v>3363.84</v>
      </c>
    </row>
    <row r="15" spans="1:8" s="4" customFormat="1" ht="44.25" customHeight="1" x14ac:dyDescent="0.25">
      <c r="A15" s="8" t="s">
        <v>74</v>
      </c>
      <c r="B15" s="61" t="s">
        <v>128</v>
      </c>
      <c r="C15" s="8">
        <v>10778</v>
      </c>
      <c r="D15" s="15">
        <f>D14</f>
        <v>3</v>
      </c>
      <c r="E15" s="8" t="s">
        <v>75</v>
      </c>
      <c r="F15" s="15">
        <v>1200</v>
      </c>
      <c r="G15" s="14">
        <f>ROUND(F15*($F$6+1),2)</f>
        <v>1401.6</v>
      </c>
      <c r="H15" s="14">
        <f t="shared" si="0"/>
        <v>4204.8</v>
      </c>
    </row>
    <row r="16" spans="1:8" s="4" customFormat="1" ht="30" x14ac:dyDescent="0.25">
      <c r="A16" s="8" t="s">
        <v>129</v>
      </c>
      <c r="B16" s="61" t="s">
        <v>76</v>
      </c>
      <c r="C16" s="8">
        <v>93208</v>
      </c>
      <c r="D16" s="15">
        <f>3*8</f>
        <v>24</v>
      </c>
      <c r="E16" s="8" t="s">
        <v>1</v>
      </c>
      <c r="F16" s="15">
        <v>1014.69</v>
      </c>
      <c r="G16" s="14">
        <f>ROUND(F16*($F$5+1),2)</f>
        <v>1248.07</v>
      </c>
      <c r="H16" s="14">
        <f t="shared" si="0"/>
        <v>29953.68</v>
      </c>
    </row>
    <row r="17" spans="1:12" s="4" customFormat="1" x14ac:dyDescent="0.25">
      <c r="A17" s="62">
        <v>2</v>
      </c>
      <c r="B17" s="9" t="s">
        <v>142</v>
      </c>
      <c r="C17" s="62"/>
      <c r="D17" s="16"/>
      <c r="E17" s="62"/>
      <c r="F17" s="16"/>
      <c r="G17" s="10"/>
      <c r="H17" s="10">
        <f>SUM(H18:H18)</f>
        <v>150930.59</v>
      </c>
      <c r="J17" s="17"/>
      <c r="K17" s="17"/>
    </row>
    <row r="18" spans="1:12" s="4" customFormat="1" ht="121.5" customHeight="1" x14ac:dyDescent="0.25">
      <c r="A18" s="8" t="s">
        <v>32</v>
      </c>
      <c r="B18" s="61" t="s">
        <v>119</v>
      </c>
      <c r="C18" s="13" t="s">
        <v>156</v>
      </c>
      <c r="D18" s="15">
        <v>1</v>
      </c>
      <c r="E18" s="8" t="s">
        <v>58</v>
      </c>
      <c r="F18" s="15">
        <f>(D14*(19467.21+8761.04)+(D14*(4.25*2)*17)*22.69+(D14*(4.25*5)*(2+5))*22.69+(D14*(4.25*7)*7)*(22.69-(1*16.71)+(1*22.93)))</f>
        <v>122707.80000000002</v>
      </c>
      <c r="G18" s="14">
        <f>ROUND(F18*($F$5+1),2)</f>
        <v>150930.59</v>
      </c>
      <c r="H18" s="14">
        <f>ROUND(D18*G18,2)</f>
        <v>150930.59</v>
      </c>
    </row>
    <row r="19" spans="1:12" s="4" customFormat="1" ht="30" x14ac:dyDescent="0.25">
      <c r="A19" s="62">
        <v>3</v>
      </c>
      <c r="B19" s="9" t="s">
        <v>147</v>
      </c>
      <c r="C19" s="6"/>
      <c r="D19" s="10"/>
      <c r="E19" s="62"/>
      <c r="F19" s="10"/>
      <c r="G19" s="10"/>
      <c r="H19" s="10">
        <f>SUM(H20:H29)</f>
        <v>97046.28</v>
      </c>
    </row>
    <row r="20" spans="1:12" ht="60" x14ac:dyDescent="0.25">
      <c r="A20" s="8" t="s">
        <v>33</v>
      </c>
      <c r="B20" s="61" t="s">
        <v>11</v>
      </c>
      <c r="C20" s="13" t="s">
        <v>131</v>
      </c>
      <c r="D20" s="14">
        <v>441</v>
      </c>
      <c r="E20" s="8" t="s">
        <v>0</v>
      </c>
      <c r="F20" s="15">
        <f>0.0488889*27.1+0.4888888*19.94</f>
        <v>11.073331862000002</v>
      </c>
      <c r="G20" s="14">
        <f t="shared" ref="G20:G59" si="1">ROUND(F20*($F$5+1),2)</f>
        <v>13.62</v>
      </c>
      <c r="H20" s="14">
        <f t="shared" ref="H20:H29" si="2">ROUND(D20*G20,2)</f>
        <v>6006.42</v>
      </c>
    </row>
    <row r="21" spans="1:12" ht="30" x14ac:dyDescent="0.25">
      <c r="A21" s="8" t="s">
        <v>49</v>
      </c>
      <c r="B21" s="61" t="s">
        <v>84</v>
      </c>
      <c r="C21" s="13" t="s">
        <v>152</v>
      </c>
      <c r="D21" s="14">
        <v>52</v>
      </c>
      <c r="E21" s="8" t="s">
        <v>0</v>
      </c>
      <c r="F21" s="41">
        <v>22.61</v>
      </c>
      <c r="G21" s="14">
        <f t="shared" si="1"/>
        <v>27.81</v>
      </c>
      <c r="H21" s="14">
        <f t="shared" si="2"/>
        <v>1446.12</v>
      </c>
    </row>
    <row r="22" spans="1:12" ht="45" x14ac:dyDescent="0.25">
      <c r="A22" s="8" t="s">
        <v>34</v>
      </c>
      <c r="B22" s="61" t="s">
        <v>82</v>
      </c>
      <c r="C22" s="13" t="s">
        <v>153</v>
      </c>
      <c r="D22" s="14">
        <v>541</v>
      </c>
      <c r="E22" s="8" t="s">
        <v>0</v>
      </c>
      <c r="F22" s="15">
        <v>6.5765000000000002</v>
      </c>
      <c r="G22" s="14">
        <f t="shared" si="1"/>
        <v>8.09</v>
      </c>
      <c r="H22" s="14">
        <f t="shared" si="2"/>
        <v>4376.6899999999996</v>
      </c>
    </row>
    <row r="23" spans="1:12" ht="45" x14ac:dyDescent="0.25">
      <c r="A23" s="8" t="s">
        <v>50</v>
      </c>
      <c r="B23" s="61" t="s">
        <v>83</v>
      </c>
      <c r="C23" s="13" t="s">
        <v>154</v>
      </c>
      <c r="D23" s="14">
        <v>541</v>
      </c>
      <c r="E23" s="8" t="s">
        <v>0</v>
      </c>
      <c r="F23" s="15">
        <v>6.5765000000000002</v>
      </c>
      <c r="G23" s="14">
        <f t="shared" si="1"/>
        <v>8.09</v>
      </c>
      <c r="H23" s="14">
        <f t="shared" si="2"/>
        <v>4376.6899999999996</v>
      </c>
    </row>
    <row r="24" spans="1:12" ht="45" x14ac:dyDescent="0.25">
      <c r="A24" s="8" t="s">
        <v>51</v>
      </c>
      <c r="B24" s="61" t="s">
        <v>61</v>
      </c>
      <c r="C24" s="13">
        <v>101465</v>
      </c>
      <c r="D24" s="14">
        <f>(D23)*0.40323</f>
        <v>218.14742999999999</v>
      </c>
      <c r="E24" s="8" t="s">
        <v>18</v>
      </c>
      <c r="F24" s="66">
        <v>26.11</v>
      </c>
      <c r="G24" s="14">
        <f t="shared" si="1"/>
        <v>32.119999999999997</v>
      </c>
      <c r="H24" s="14">
        <f t="shared" si="2"/>
        <v>7006.9</v>
      </c>
    </row>
    <row r="25" spans="1:12" ht="60" customHeight="1" x14ac:dyDescent="0.25">
      <c r="A25" s="8" t="s">
        <v>52</v>
      </c>
      <c r="B25" s="61" t="s">
        <v>62</v>
      </c>
      <c r="C25" s="13">
        <v>100954</v>
      </c>
      <c r="D25" s="14">
        <f>D24*((D23*0.403/6.2)*0.541/2)</f>
        <v>2075.0472586944752</v>
      </c>
      <c r="E25" s="8" t="s">
        <v>60</v>
      </c>
      <c r="F25" s="66">
        <v>8.44</v>
      </c>
      <c r="G25" s="14">
        <f t="shared" si="1"/>
        <v>10.38</v>
      </c>
      <c r="H25" s="14">
        <f t="shared" si="2"/>
        <v>21538.99</v>
      </c>
    </row>
    <row r="26" spans="1:12" s="42" customFormat="1" ht="46.5" customHeight="1" x14ac:dyDescent="0.25">
      <c r="A26" s="8" t="s">
        <v>77</v>
      </c>
      <c r="B26" s="56" t="s">
        <v>121</v>
      </c>
      <c r="C26" s="57" t="s">
        <v>120</v>
      </c>
      <c r="D26" s="41">
        <f>D31*2</f>
        <v>5426</v>
      </c>
      <c r="E26" s="57" t="s">
        <v>0</v>
      </c>
      <c r="F26" s="58">
        <f>(0.2433*27.1)+(0.0524*9.78)+(0.0836*0.92)</f>
        <v>7.1828139999999996</v>
      </c>
      <c r="G26" s="41">
        <f t="shared" si="1"/>
        <v>8.83</v>
      </c>
      <c r="H26" s="41">
        <f t="shared" si="2"/>
        <v>47911.58</v>
      </c>
      <c r="J26" s="43"/>
      <c r="K26" s="44"/>
      <c r="L26" s="45"/>
    </row>
    <row r="27" spans="1:12" s="51" customFormat="1" ht="30" x14ac:dyDescent="0.25">
      <c r="A27" s="8" t="s">
        <v>78</v>
      </c>
      <c r="B27" s="20" t="s">
        <v>136</v>
      </c>
      <c r="C27" s="48">
        <v>97082</v>
      </c>
      <c r="D27" s="49">
        <f>(D31*0.15)*(0.07)</f>
        <v>28.486500000000003</v>
      </c>
      <c r="E27" s="47" t="s">
        <v>6</v>
      </c>
      <c r="F27" s="50">
        <v>57.9</v>
      </c>
      <c r="G27" s="49">
        <f t="shared" si="1"/>
        <v>71.22</v>
      </c>
      <c r="H27" s="49">
        <f t="shared" si="2"/>
        <v>2028.81</v>
      </c>
      <c r="K27" s="52"/>
      <c r="L27" s="53"/>
    </row>
    <row r="28" spans="1:12" s="51" customFormat="1" ht="75" x14ac:dyDescent="0.25">
      <c r="A28" s="8" t="s">
        <v>79</v>
      </c>
      <c r="B28" s="20" t="s">
        <v>137</v>
      </c>
      <c r="C28" s="54">
        <v>100982</v>
      </c>
      <c r="D28" s="49">
        <f>1.3*(D20*(0.15*0.3)+ D27)</f>
        <v>62.830950000000009</v>
      </c>
      <c r="E28" s="47" t="s">
        <v>6</v>
      </c>
      <c r="F28" s="55">
        <v>9.17</v>
      </c>
      <c r="G28" s="49">
        <f t="shared" si="1"/>
        <v>11.28</v>
      </c>
      <c r="H28" s="49">
        <f t="shared" si="2"/>
        <v>708.73</v>
      </c>
    </row>
    <row r="29" spans="1:12" s="51" customFormat="1" ht="60" x14ac:dyDescent="0.25">
      <c r="A29" s="8" t="s">
        <v>80</v>
      </c>
      <c r="B29" s="20" t="s">
        <v>138</v>
      </c>
      <c r="C29" s="54">
        <v>95875</v>
      </c>
      <c r="D29" s="49">
        <f>D28*8.7</f>
        <v>546.62926500000003</v>
      </c>
      <c r="E29" s="47" t="s">
        <v>81</v>
      </c>
      <c r="F29" s="55">
        <v>2.4500000000000002</v>
      </c>
      <c r="G29" s="49">
        <f t="shared" si="1"/>
        <v>3.01</v>
      </c>
      <c r="H29" s="49">
        <f t="shared" si="2"/>
        <v>1645.35</v>
      </c>
    </row>
    <row r="30" spans="1:12" ht="30" x14ac:dyDescent="0.25">
      <c r="A30" s="62">
        <v>4</v>
      </c>
      <c r="B30" s="9" t="s">
        <v>146</v>
      </c>
      <c r="C30" s="13"/>
      <c r="D30" s="14"/>
      <c r="E30" s="8"/>
      <c r="F30" s="64">
        <f>76.91-56.028+(26+12.95)</f>
        <v>59.832000000000001</v>
      </c>
      <c r="G30" s="14"/>
      <c r="H30" s="10">
        <f>SUM(H31:H36)</f>
        <v>1980257.1900000002</v>
      </c>
    </row>
    <row r="31" spans="1:12" ht="60" customHeight="1" x14ac:dyDescent="0.25">
      <c r="A31" s="8" t="s">
        <v>35</v>
      </c>
      <c r="B31" s="61" t="s">
        <v>3</v>
      </c>
      <c r="C31" s="8">
        <v>94273</v>
      </c>
      <c r="D31" s="14">
        <v>2713</v>
      </c>
      <c r="E31" s="8" t="s">
        <v>0</v>
      </c>
      <c r="F31" s="15">
        <v>70.14</v>
      </c>
      <c r="G31" s="14">
        <f t="shared" si="1"/>
        <v>86.27</v>
      </c>
      <c r="H31" s="14">
        <f t="shared" ref="H31:H36" si="3">ROUND(D31*G31,2)</f>
        <v>234050.51</v>
      </c>
    </row>
    <row r="32" spans="1:12" ht="45" x14ac:dyDescent="0.25">
      <c r="A32" s="8" t="s">
        <v>53</v>
      </c>
      <c r="B32" s="56" t="s">
        <v>135</v>
      </c>
      <c r="C32" s="65" t="s">
        <v>151</v>
      </c>
      <c r="D32" s="41">
        <f>3924</f>
        <v>3924</v>
      </c>
      <c r="E32" s="57" t="s">
        <v>4</v>
      </c>
      <c r="F32" s="18">
        <v>76.91</v>
      </c>
      <c r="G32" s="41">
        <f t="shared" si="1"/>
        <v>94.6</v>
      </c>
      <c r="H32" s="41">
        <f t="shared" si="3"/>
        <v>371210.4</v>
      </c>
    </row>
    <row r="33" spans="1:11" ht="30" x14ac:dyDescent="0.25">
      <c r="A33" s="8" t="s">
        <v>54</v>
      </c>
      <c r="B33" s="61" t="s">
        <v>45</v>
      </c>
      <c r="C33" s="13" t="s">
        <v>155</v>
      </c>
      <c r="D33" s="14">
        <v>39</v>
      </c>
      <c r="E33" s="8" t="s">
        <v>0</v>
      </c>
      <c r="F33" s="15">
        <v>258.69</v>
      </c>
      <c r="G33" s="14">
        <f t="shared" si="1"/>
        <v>318.19</v>
      </c>
      <c r="H33" s="14">
        <f t="shared" si="3"/>
        <v>12409.41</v>
      </c>
    </row>
    <row r="34" spans="1:11" ht="30" x14ac:dyDescent="0.25">
      <c r="A34" s="8" t="s">
        <v>55</v>
      </c>
      <c r="B34" s="61" t="s">
        <v>67</v>
      </c>
      <c r="C34" s="13">
        <v>96620</v>
      </c>
      <c r="D34" s="14">
        <f>D35*0.04</f>
        <v>330.48</v>
      </c>
      <c r="E34" s="8" t="s">
        <v>6</v>
      </c>
      <c r="F34" s="66">
        <v>621.05999999999995</v>
      </c>
      <c r="G34" s="14">
        <f t="shared" si="1"/>
        <v>763.9</v>
      </c>
      <c r="H34" s="14">
        <f t="shared" si="3"/>
        <v>252453.67</v>
      </c>
    </row>
    <row r="35" spans="1:11" ht="45" x14ac:dyDescent="0.25">
      <c r="A35" s="8" t="s">
        <v>56</v>
      </c>
      <c r="B35" s="61" t="s">
        <v>12</v>
      </c>
      <c r="C35" s="8">
        <v>94994</v>
      </c>
      <c r="D35" s="14">
        <v>8262</v>
      </c>
      <c r="E35" s="8" t="s">
        <v>1</v>
      </c>
      <c r="F35" s="15">
        <v>96</v>
      </c>
      <c r="G35" s="14">
        <f t="shared" si="1"/>
        <v>118.08</v>
      </c>
      <c r="H35" s="14">
        <f t="shared" si="3"/>
        <v>975576.96</v>
      </c>
    </row>
    <row r="36" spans="1:11" ht="45" x14ac:dyDescent="0.25">
      <c r="A36" s="8" t="s">
        <v>57</v>
      </c>
      <c r="B36" s="61" t="s">
        <v>68</v>
      </c>
      <c r="C36" s="8">
        <v>92396</v>
      </c>
      <c r="D36" s="14">
        <v>1464</v>
      </c>
      <c r="E36" s="8" t="s">
        <v>1</v>
      </c>
      <c r="F36" s="15">
        <v>74.72</v>
      </c>
      <c r="G36" s="14">
        <f t="shared" si="1"/>
        <v>91.91</v>
      </c>
      <c r="H36" s="14">
        <f t="shared" si="3"/>
        <v>134556.24</v>
      </c>
    </row>
    <row r="37" spans="1:11" s="4" customFormat="1" ht="30" x14ac:dyDescent="0.25">
      <c r="A37" s="62">
        <v>5</v>
      </c>
      <c r="B37" s="9" t="s">
        <v>141</v>
      </c>
      <c r="C37" s="62"/>
      <c r="D37" s="10">
        <f>(10.384+6.023+23.975+10.26+6.63+7.268+5.606+6.66+7.211+6.17+17.43+10.137+10.19+10.2+10.13+10.15+10.15+10.185+10+10.096+10.17+10.41+13.14)</f>
        <v>232.57499999999999</v>
      </c>
      <c r="E37" s="62" t="s">
        <v>0</v>
      </c>
      <c r="F37" s="16"/>
      <c r="G37" s="10"/>
      <c r="H37" s="10">
        <f>SUM(H38:H41)</f>
        <v>139464.99</v>
      </c>
    </row>
    <row r="38" spans="1:11" ht="60" x14ac:dyDescent="0.25">
      <c r="A38" s="8" t="s">
        <v>36</v>
      </c>
      <c r="B38" s="20" t="s">
        <v>140</v>
      </c>
      <c r="C38" s="8" t="s">
        <v>134</v>
      </c>
      <c r="D38" s="14">
        <v>919</v>
      </c>
      <c r="E38" s="8" t="s">
        <v>1</v>
      </c>
      <c r="F38" s="21">
        <f>88.32-((0.0568*97.5)/5*(8-1))+((0.0568*112.58)/5*(8-1))</f>
        <v>89.51916159999999</v>
      </c>
      <c r="G38" s="14">
        <f>ROUND(F38*($F$5+1),2)</f>
        <v>110.11</v>
      </c>
      <c r="H38" s="14">
        <f>ROUND(D38*G38,2)</f>
        <v>101191.09</v>
      </c>
      <c r="J38" s="3"/>
      <c r="K38" s="19"/>
    </row>
    <row r="39" spans="1:11" ht="90" x14ac:dyDescent="0.25">
      <c r="A39" s="8" t="s">
        <v>37</v>
      </c>
      <c r="B39" s="46" t="s">
        <v>124</v>
      </c>
      <c r="C39" s="57" t="s">
        <v>86</v>
      </c>
      <c r="D39" s="14">
        <f>2*D37*((0.05+0.16)/2*0.6576)</f>
        <v>32.117677199999996</v>
      </c>
      <c r="E39" s="8" t="s">
        <v>6</v>
      </c>
      <c r="F39" s="21">
        <v>631.47</v>
      </c>
      <c r="G39" s="14">
        <f t="shared" ref="G39:G41" si="4">ROUND(F39*($F$5+1),2)</f>
        <v>776.71</v>
      </c>
      <c r="H39" s="14">
        <f>ROUND(D39*G39,2)</f>
        <v>24946.12</v>
      </c>
      <c r="J39" s="3"/>
      <c r="K39" s="19"/>
    </row>
    <row r="40" spans="1:11" ht="30" x14ac:dyDescent="0.25">
      <c r="A40" s="8" t="s">
        <v>38</v>
      </c>
      <c r="B40" s="46" t="s">
        <v>85</v>
      </c>
      <c r="C40" s="57">
        <v>103673</v>
      </c>
      <c r="D40" s="41">
        <f>D39</f>
        <v>32.117677199999996</v>
      </c>
      <c r="E40" s="57" t="s">
        <v>6</v>
      </c>
      <c r="F40" s="21">
        <v>39.020000000000003</v>
      </c>
      <c r="G40" s="41">
        <f t="shared" si="4"/>
        <v>47.99</v>
      </c>
      <c r="H40" s="41">
        <f>ROUND(D40*G40,2)</f>
        <v>1541.33</v>
      </c>
      <c r="J40" s="3"/>
      <c r="K40" s="19"/>
    </row>
    <row r="41" spans="1:11" ht="45" x14ac:dyDescent="0.25">
      <c r="A41" s="8" t="s">
        <v>39</v>
      </c>
      <c r="B41" s="20" t="s">
        <v>126</v>
      </c>
      <c r="C41" s="8" t="s">
        <v>125</v>
      </c>
      <c r="D41" s="14">
        <f>2*D37*(0.05/2*0.43)</f>
        <v>5.0003625000000005</v>
      </c>
      <c r="E41" s="8" t="s">
        <v>6</v>
      </c>
      <c r="F41" s="21">
        <f>2385.76-(20*23.47)</f>
        <v>1916.3600000000001</v>
      </c>
      <c r="G41" s="14">
        <f t="shared" si="4"/>
        <v>2357.12</v>
      </c>
      <c r="H41" s="14">
        <f>ROUND(D41*G41,2)</f>
        <v>11786.45</v>
      </c>
      <c r="J41" s="3"/>
      <c r="K41" s="19"/>
    </row>
    <row r="42" spans="1:11" ht="30" x14ac:dyDescent="0.25">
      <c r="A42" s="62">
        <v>6</v>
      </c>
      <c r="B42" s="9" t="s">
        <v>143</v>
      </c>
      <c r="C42" s="59"/>
      <c r="D42" s="10">
        <v>465</v>
      </c>
      <c r="E42" s="62" t="s">
        <v>0</v>
      </c>
      <c r="F42" s="14"/>
      <c r="G42" s="14"/>
      <c r="H42" s="10">
        <f>SUM(H43:H50)</f>
        <v>73712.86</v>
      </c>
      <c r="K42" s="2"/>
    </row>
    <row r="43" spans="1:11" ht="47.25" customHeight="1" x14ac:dyDescent="0.25">
      <c r="A43" s="8" t="s">
        <v>40</v>
      </c>
      <c r="B43" s="61" t="s">
        <v>15</v>
      </c>
      <c r="C43" s="8">
        <v>103318</v>
      </c>
      <c r="D43" s="14">
        <v>186.96</v>
      </c>
      <c r="E43" s="8" t="s">
        <v>1</v>
      </c>
      <c r="F43" s="15">
        <v>93.66</v>
      </c>
      <c r="G43" s="14">
        <f t="shared" si="1"/>
        <v>115.2</v>
      </c>
      <c r="H43" s="14">
        <f t="shared" ref="H43:H50" si="5">ROUND(D43*G43,2)</f>
        <v>21537.79</v>
      </c>
    </row>
    <row r="44" spans="1:11" ht="44.25" customHeight="1" x14ac:dyDescent="0.25">
      <c r="A44" s="8" t="s">
        <v>41</v>
      </c>
      <c r="B44" s="61" t="s">
        <v>16</v>
      </c>
      <c r="C44" s="8">
        <v>87894</v>
      </c>
      <c r="D44" s="14">
        <f>D43*2</f>
        <v>373.92</v>
      </c>
      <c r="E44" s="8" t="s">
        <v>1</v>
      </c>
      <c r="F44" s="15">
        <v>6.64</v>
      </c>
      <c r="G44" s="14">
        <f t="shared" si="1"/>
        <v>8.17</v>
      </c>
      <c r="H44" s="14">
        <f t="shared" si="5"/>
        <v>3054.93</v>
      </c>
    </row>
    <row r="45" spans="1:11" ht="47.25" customHeight="1" x14ac:dyDescent="0.25">
      <c r="A45" s="8" t="s">
        <v>42</v>
      </c>
      <c r="B45" s="61" t="s">
        <v>17</v>
      </c>
      <c r="C45" s="8">
        <v>87775</v>
      </c>
      <c r="D45" s="14">
        <f>D44</f>
        <v>373.92</v>
      </c>
      <c r="E45" s="8" t="s">
        <v>1</v>
      </c>
      <c r="F45" s="15">
        <v>52.08</v>
      </c>
      <c r="G45" s="14">
        <f t="shared" si="1"/>
        <v>64.06</v>
      </c>
      <c r="H45" s="14">
        <f t="shared" si="5"/>
        <v>23953.32</v>
      </c>
    </row>
    <row r="46" spans="1:11" ht="30" x14ac:dyDescent="0.25">
      <c r="A46" s="8" t="s">
        <v>43</v>
      </c>
      <c r="B46" s="61" t="s">
        <v>64</v>
      </c>
      <c r="C46" s="8">
        <v>88485</v>
      </c>
      <c r="D46" s="14">
        <f>D43</f>
        <v>186.96</v>
      </c>
      <c r="E46" s="8" t="s">
        <v>1</v>
      </c>
      <c r="F46" s="15">
        <v>4.18</v>
      </c>
      <c r="G46" s="14">
        <f t="shared" si="1"/>
        <v>5.14</v>
      </c>
      <c r="H46" s="14">
        <f t="shared" si="5"/>
        <v>960.97</v>
      </c>
    </row>
    <row r="47" spans="1:11" ht="30" x14ac:dyDescent="0.25">
      <c r="A47" s="8" t="s">
        <v>44</v>
      </c>
      <c r="B47" s="61" t="s">
        <v>65</v>
      </c>
      <c r="C47" s="8">
        <v>88489</v>
      </c>
      <c r="D47" s="14">
        <f>D43</f>
        <v>186.96</v>
      </c>
      <c r="E47" s="8" t="s">
        <v>1</v>
      </c>
      <c r="F47" s="15">
        <v>12.25</v>
      </c>
      <c r="G47" s="14">
        <f t="shared" si="1"/>
        <v>15.07</v>
      </c>
      <c r="H47" s="14">
        <f t="shared" si="5"/>
        <v>2817.49</v>
      </c>
    </row>
    <row r="48" spans="1:11" ht="30" x14ac:dyDescent="0.25">
      <c r="A48" s="8" t="s">
        <v>88</v>
      </c>
      <c r="B48" s="61" t="s">
        <v>66</v>
      </c>
      <c r="C48" s="8">
        <v>98557</v>
      </c>
      <c r="D48" s="14">
        <f>D46</f>
        <v>186.96</v>
      </c>
      <c r="E48" s="8" t="s">
        <v>1</v>
      </c>
      <c r="F48" s="15">
        <v>40.1</v>
      </c>
      <c r="G48" s="14">
        <f t="shared" si="1"/>
        <v>49.32</v>
      </c>
      <c r="H48" s="14">
        <f t="shared" si="5"/>
        <v>9220.8700000000008</v>
      </c>
    </row>
    <row r="49" spans="1:8" ht="45" x14ac:dyDescent="0.25">
      <c r="A49" s="8" t="s">
        <v>89</v>
      </c>
      <c r="B49" s="61" t="s">
        <v>149</v>
      </c>
      <c r="C49" s="13" t="s">
        <v>150</v>
      </c>
      <c r="D49" s="40">
        <v>63.224699999999999</v>
      </c>
      <c r="E49" s="8" t="s">
        <v>6</v>
      </c>
      <c r="F49" s="60">
        <f>78.57-(1.3889*36.51)+(1.3889*51.12)</f>
        <v>98.861829</v>
      </c>
      <c r="G49" s="14">
        <f t="shared" si="1"/>
        <v>121.6</v>
      </c>
      <c r="H49" s="14">
        <f t="shared" si="5"/>
        <v>7688.12</v>
      </c>
    </row>
    <row r="50" spans="1:8" ht="32.25" customHeight="1" x14ac:dyDescent="0.25">
      <c r="A50" s="8" t="s">
        <v>90</v>
      </c>
      <c r="B50" s="61" t="s">
        <v>116</v>
      </c>
      <c r="C50" s="8">
        <v>103946</v>
      </c>
      <c r="D50" s="14">
        <v>191.59</v>
      </c>
      <c r="E50" s="8" t="s">
        <v>1</v>
      </c>
      <c r="F50" s="15">
        <v>19.010000000000002</v>
      </c>
      <c r="G50" s="14">
        <f t="shared" si="1"/>
        <v>23.38</v>
      </c>
      <c r="H50" s="14">
        <f t="shared" si="5"/>
        <v>4479.37</v>
      </c>
    </row>
    <row r="51" spans="1:8" s="4" customFormat="1" ht="30" x14ac:dyDescent="0.25">
      <c r="A51" s="62">
        <v>7</v>
      </c>
      <c r="B51" s="9" t="s">
        <v>144</v>
      </c>
      <c r="C51" s="62"/>
      <c r="D51" s="10"/>
      <c r="E51" s="62"/>
      <c r="F51" s="6"/>
      <c r="G51" s="10"/>
      <c r="H51" s="10">
        <f>SUM(H52:H53)</f>
        <v>203009.68</v>
      </c>
    </row>
    <row r="52" spans="1:8" s="4" customFormat="1" ht="45" x14ac:dyDescent="0.25">
      <c r="A52" s="8" t="s">
        <v>69</v>
      </c>
      <c r="B52" s="61" t="s">
        <v>117</v>
      </c>
      <c r="C52" s="13" t="s">
        <v>150</v>
      </c>
      <c r="D52" s="40">
        <v>783.42970000000003</v>
      </c>
      <c r="E52" s="8" t="s">
        <v>6</v>
      </c>
      <c r="F52" s="60">
        <f>78.57-(1.3889*36.51)+(1.3889*51.12)</f>
        <v>98.861829</v>
      </c>
      <c r="G52" s="14">
        <f t="shared" si="1"/>
        <v>121.6</v>
      </c>
      <c r="H52" s="14">
        <f>ROUND(D52*G52,2)</f>
        <v>95265.05</v>
      </c>
    </row>
    <row r="53" spans="1:8" ht="32.25" customHeight="1" x14ac:dyDescent="0.25">
      <c r="A53" s="8" t="s">
        <v>70</v>
      </c>
      <c r="B53" s="61" t="s">
        <v>116</v>
      </c>
      <c r="C53" s="8">
        <v>103946</v>
      </c>
      <c r="D53" s="41">
        <f>4800-D50</f>
        <v>4608.41</v>
      </c>
      <c r="E53" s="8" t="s">
        <v>1</v>
      </c>
      <c r="F53" s="15">
        <v>19.010000000000002</v>
      </c>
      <c r="G53" s="14">
        <f t="shared" si="1"/>
        <v>23.38</v>
      </c>
      <c r="H53" s="14">
        <f>ROUND(D53*G53,2)</f>
        <v>107744.63</v>
      </c>
    </row>
    <row r="54" spans="1:8" ht="30" x14ac:dyDescent="0.25">
      <c r="A54" s="62">
        <v>8</v>
      </c>
      <c r="B54" s="9" t="s">
        <v>145</v>
      </c>
      <c r="C54" s="59"/>
      <c r="D54" s="14"/>
      <c r="E54" s="8"/>
      <c r="F54" s="14"/>
      <c r="G54" s="14"/>
      <c r="H54" s="10">
        <f>SUM(H55:H59)</f>
        <v>7572.3200000000006</v>
      </c>
    </row>
    <row r="55" spans="1:8" ht="45" x14ac:dyDescent="0.25">
      <c r="A55" s="8" t="s">
        <v>91</v>
      </c>
      <c r="B55" s="61" t="s">
        <v>8</v>
      </c>
      <c r="C55" s="13" t="s">
        <v>7</v>
      </c>
      <c r="D55" s="41">
        <f>((0.36*0.2)+(2*0.031))*D58/0.25</f>
        <v>213.06</v>
      </c>
      <c r="E55" s="8" t="s">
        <v>1</v>
      </c>
      <c r="F55" s="15">
        <f>10.81-(1.2105*8.59)+(1.2105*10.31)</f>
        <v>12.892060000000001</v>
      </c>
      <c r="G55" s="14">
        <f t="shared" si="1"/>
        <v>15.86</v>
      </c>
      <c r="H55" s="14">
        <f>ROUND(D55*G55,2)</f>
        <v>3379.13</v>
      </c>
    </row>
    <row r="56" spans="1:8" ht="45" x14ac:dyDescent="0.25">
      <c r="A56" s="8" t="s">
        <v>92</v>
      </c>
      <c r="B56" s="61" t="s">
        <v>9</v>
      </c>
      <c r="C56" s="8">
        <v>100324</v>
      </c>
      <c r="D56" s="41">
        <f>(0.023*0.2)*D58/0.25</f>
        <v>7.3140000000000001</v>
      </c>
      <c r="E56" s="8" t="s">
        <v>6</v>
      </c>
      <c r="F56" s="15">
        <v>170.05</v>
      </c>
      <c r="G56" s="14">
        <f t="shared" si="1"/>
        <v>209.16</v>
      </c>
      <c r="H56" s="14">
        <f>ROUND(D56*G56,2)</f>
        <v>1529.8</v>
      </c>
    </row>
    <row r="57" spans="1:8" ht="30" x14ac:dyDescent="0.25">
      <c r="A57" s="8" t="s">
        <v>93</v>
      </c>
      <c r="B57" s="61" t="s">
        <v>10</v>
      </c>
      <c r="C57" s="8">
        <v>100323</v>
      </c>
      <c r="D57" s="41">
        <f>(0.008*0.2)*D58/0.25</f>
        <v>2.544</v>
      </c>
      <c r="E57" s="8" t="s">
        <v>6</v>
      </c>
      <c r="F57" s="15">
        <v>145.19999999999999</v>
      </c>
      <c r="G57" s="14">
        <f t="shared" si="1"/>
        <v>178.6</v>
      </c>
      <c r="H57" s="14">
        <f>ROUND(D57*G57,2)</f>
        <v>454.36</v>
      </c>
    </row>
    <row r="58" spans="1:8" x14ac:dyDescent="0.25">
      <c r="A58" s="8" t="s">
        <v>94</v>
      </c>
      <c r="B58" s="61" t="s">
        <v>14</v>
      </c>
      <c r="C58" s="8" t="s">
        <v>13</v>
      </c>
      <c r="D58" s="41">
        <f>1590*0.25</f>
        <v>397.5</v>
      </c>
      <c r="E58" s="8" t="s">
        <v>0</v>
      </c>
      <c r="F58" s="15">
        <v>3.77</v>
      </c>
      <c r="G58" s="14">
        <f t="shared" si="1"/>
        <v>4.6399999999999997</v>
      </c>
      <c r="H58" s="14">
        <f>ROUND(D58*G58,2)</f>
        <v>1844.4</v>
      </c>
    </row>
    <row r="59" spans="1:8" x14ac:dyDescent="0.25">
      <c r="A59" s="8" t="s">
        <v>95</v>
      </c>
      <c r="B59" s="61" t="s">
        <v>72</v>
      </c>
      <c r="C59" s="8" t="s">
        <v>71</v>
      </c>
      <c r="D59" s="41">
        <f>((3.1415*0.025*0.025)+(2*3.1415*0.025)*0.05)*D58/0.25</f>
        <v>15.609328125000003</v>
      </c>
      <c r="E59" s="8" t="s">
        <v>1</v>
      </c>
      <c r="F59" s="15">
        <v>18.992699999999999</v>
      </c>
      <c r="G59" s="14">
        <f t="shared" si="1"/>
        <v>23.36</v>
      </c>
      <c r="H59" s="14">
        <f>ROUND(D59*G59,2)</f>
        <v>364.63</v>
      </c>
    </row>
    <row r="60" spans="1:8" ht="30.75" customHeight="1" x14ac:dyDescent="0.25">
      <c r="A60" s="62" t="s">
        <v>133</v>
      </c>
      <c r="B60" s="67" t="s">
        <v>139</v>
      </c>
      <c r="C60" s="67"/>
      <c r="D60" s="67"/>
      <c r="E60" s="67"/>
      <c r="F60" s="67"/>
      <c r="G60" s="67"/>
      <c r="H60" s="67"/>
    </row>
  </sheetData>
  <mergeCells count="17">
    <mergeCell ref="A1:H1"/>
    <mergeCell ref="A2:H2"/>
    <mergeCell ref="A3:H3"/>
    <mergeCell ref="A4:H4"/>
    <mergeCell ref="F7:G7"/>
    <mergeCell ref="H7:H8"/>
    <mergeCell ref="C7:C8"/>
    <mergeCell ref="D7:D8"/>
    <mergeCell ref="E7:E8"/>
    <mergeCell ref="B7:B8"/>
    <mergeCell ref="C5:E5"/>
    <mergeCell ref="C6:E6"/>
    <mergeCell ref="B60:H60"/>
    <mergeCell ref="G5:H6"/>
    <mergeCell ref="A5:B6"/>
    <mergeCell ref="A7:A8"/>
    <mergeCell ref="A9:G9"/>
  </mergeCells>
  <printOptions horizontalCentered="1"/>
  <pageMargins left="0.39370078740157483" right="0.59055118110236227" top="0.35433070866141736" bottom="0.35433070866141736" header="0" footer="0"/>
  <pageSetup paperSize="9" scale="65" orientation="portrait" r:id="rId1"/>
  <rowBreaks count="1" manualBreakCount="1">
    <brk id="3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view="pageBreakPreview" zoomScale="130" zoomScaleNormal="130" zoomScaleSheetLayoutView="130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H31" sqref="H31"/>
    </sheetView>
  </sheetViews>
  <sheetFormatPr defaultRowHeight="12.75" x14ac:dyDescent="0.25"/>
  <cols>
    <col min="1" max="1" width="4.28515625" style="22" bestFit="1" customWidth="1"/>
    <col min="2" max="2" width="33.85546875" style="22" customWidth="1"/>
    <col min="3" max="3" width="10" style="22" bestFit="1" customWidth="1"/>
    <col min="4" max="4" width="6.42578125" style="22" bestFit="1" customWidth="1"/>
    <col min="5" max="8" width="10" style="22" bestFit="1" customWidth="1"/>
    <col min="9" max="250" width="9.140625" style="22"/>
    <col min="251" max="251" width="5.5703125" style="22" bestFit="1" customWidth="1"/>
    <col min="252" max="252" width="16.5703125" style="22" customWidth="1"/>
    <col min="253" max="253" width="10" style="22" bestFit="1" customWidth="1"/>
    <col min="254" max="254" width="6.42578125" style="22" bestFit="1" customWidth="1"/>
    <col min="255" max="255" width="8.7109375" style="22" bestFit="1" customWidth="1"/>
    <col min="256" max="256" width="10.42578125" style="22" customWidth="1"/>
    <col min="257" max="264" width="10" style="22" bestFit="1" customWidth="1"/>
    <col min="265" max="506" width="9.140625" style="22"/>
    <col min="507" max="507" width="5.5703125" style="22" bestFit="1" customWidth="1"/>
    <col min="508" max="508" width="16.5703125" style="22" customWidth="1"/>
    <col min="509" max="509" width="10" style="22" bestFit="1" customWidth="1"/>
    <col min="510" max="510" width="6.42578125" style="22" bestFit="1" customWidth="1"/>
    <col min="511" max="511" width="8.7109375" style="22" bestFit="1" customWidth="1"/>
    <col min="512" max="512" width="10.42578125" style="22" customWidth="1"/>
    <col min="513" max="520" width="10" style="22" bestFit="1" customWidth="1"/>
    <col min="521" max="762" width="9.140625" style="22"/>
    <col min="763" max="763" width="5.5703125" style="22" bestFit="1" customWidth="1"/>
    <col min="764" max="764" width="16.5703125" style="22" customWidth="1"/>
    <col min="765" max="765" width="10" style="22" bestFit="1" customWidth="1"/>
    <col min="766" max="766" width="6.42578125" style="22" bestFit="1" customWidth="1"/>
    <col min="767" max="767" width="8.7109375" style="22" bestFit="1" customWidth="1"/>
    <col min="768" max="768" width="10.42578125" style="22" customWidth="1"/>
    <col min="769" max="776" width="10" style="22" bestFit="1" customWidth="1"/>
    <col min="777" max="1018" width="9.140625" style="22"/>
    <col min="1019" max="1019" width="5.5703125" style="22" bestFit="1" customWidth="1"/>
    <col min="1020" max="1020" width="16.5703125" style="22" customWidth="1"/>
    <col min="1021" max="1021" width="10" style="22" bestFit="1" customWidth="1"/>
    <col min="1022" max="1022" width="6.42578125" style="22" bestFit="1" customWidth="1"/>
    <col min="1023" max="1023" width="8.7109375" style="22" bestFit="1" customWidth="1"/>
    <col min="1024" max="1024" width="10.42578125" style="22" customWidth="1"/>
    <col min="1025" max="1032" width="10" style="22" bestFit="1" customWidth="1"/>
    <col min="1033" max="1274" width="9.140625" style="22"/>
    <col min="1275" max="1275" width="5.5703125" style="22" bestFit="1" customWidth="1"/>
    <col min="1276" max="1276" width="16.5703125" style="22" customWidth="1"/>
    <col min="1277" max="1277" width="10" style="22" bestFit="1" customWidth="1"/>
    <col min="1278" max="1278" width="6.42578125" style="22" bestFit="1" customWidth="1"/>
    <col min="1279" max="1279" width="8.7109375" style="22" bestFit="1" customWidth="1"/>
    <col min="1280" max="1280" width="10.42578125" style="22" customWidth="1"/>
    <col min="1281" max="1288" width="10" style="22" bestFit="1" customWidth="1"/>
    <col min="1289" max="1530" width="9.140625" style="22"/>
    <col min="1531" max="1531" width="5.5703125" style="22" bestFit="1" customWidth="1"/>
    <col min="1532" max="1532" width="16.5703125" style="22" customWidth="1"/>
    <col min="1533" max="1533" width="10" style="22" bestFit="1" customWidth="1"/>
    <col min="1534" max="1534" width="6.42578125" style="22" bestFit="1" customWidth="1"/>
    <col min="1535" max="1535" width="8.7109375" style="22" bestFit="1" customWidth="1"/>
    <col min="1536" max="1536" width="10.42578125" style="22" customWidth="1"/>
    <col min="1537" max="1544" width="10" style="22" bestFit="1" customWidth="1"/>
    <col min="1545" max="1786" width="9.140625" style="22"/>
    <col min="1787" max="1787" width="5.5703125" style="22" bestFit="1" customWidth="1"/>
    <col min="1788" max="1788" width="16.5703125" style="22" customWidth="1"/>
    <col min="1789" max="1789" width="10" style="22" bestFit="1" customWidth="1"/>
    <col min="1790" max="1790" width="6.42578125" style="22" bestFit="1" customWidth="1"/>
    <col min="1791" max="1791" width="8.7109375" style="22" bestFit="1" customWidth="1"/>
    <col min="1792" max="1792" width="10.42578125" style="22" customWidth="1"/>
    <col min="1793" max="1800" width="10" style="22" bestFit="1" customWidth="1"/>
    <col min="1801" max="2042" width="9.140625" style="22"/>
    <col min="2043" max="2043" width="5.5703125" style="22" bestFit="1" customWidth="1"/>
    <col min="2044" max="2044" width="16.5703125" style="22" customWidth="1"/>
    <col min="2045" max="2045" width="10" style="22" bestFit="1" customWidth="1"/>
    <col min="2046" max="2046" width="6.42578125" style="22" bestFit="1" customWidth="1"/>
    <col min="2047" max="2047" width="8.7109375" style="22" bestFit="1" customWidth="1"/>
    <col min="2048" max="2048" width="10.42578125" style="22" customWidth="1"/>
    <col min="2049" max="2056" width="10" style="22" bestFit="1" customWidth="1"/>
    <col min="2057" max="2298" width="9.140625" style="22"/>
    <col min="2299" max="2299" width="5.5703125" style="22" bestFit="1" customWidth="1"/>
    <col min="2300" max="2300" width="16.5703125" style="22" customWidth="1"/>
    <col min="2301" max="2301" width="10" style="22" bestFit="1" customWidth="1"/>
    <col min="2302" max="2302" width="6.42578125" style="22" bestFit="1" customWidth="1"/>
    <col min="2303" max="2303" width="8.7109375" style="22" bestFit="1" customWidth="1"/>
    <col min="2304" max="2304" width="10.42578125" style="22" customWidth="1"/>
    <col min="2305" max="2312" width="10" style="22" bestFit="1" customWidth="1"/>
    <col min="2313" max="2554" width="9.140625" style="22"/>
    <col min="2555" max="2555" width="5.5703125" style="22" bestFit="1" customWidth="1"/>
    <col min="2556" max="2556" width="16.5703125" style="22" customWidth="1"/>
    <col min="2557" max="2557" width="10" style="22" bestFit="1" customWidth="1"/>
    <col min="2558" max="2558" width="6.42578125" style="22" bestFit="1" customWidth="1"/>
    <col min="2559" max="2559" width="8.7109375" style="22" bestFit="1" customWidth="1"/>
    <col min="2560" max="2560" width="10.42578125" style="22" customWidth="1"/>
    <col min="2561" max="2568" width="10" style="22" bestFit="1" customWidth="1"/>
    <col min="2569" max="2810" width="9.140625" style="22"/>
    <col min="2811" max="2811" width="5.5703125" style="22" bestFit="1" customWidth="1"/>
    <col min="2812" max="2812" width="16.5703125" style="22" customWidth="1"/>
    <col min="2813" max="2813" width="10" style="22" bestFit="1" customWidth="1"/>
    <col min="2814" max="2814" width="6.42578125" style="22" bestFit="1" customWidth="1"/>
    <col min="2815" max="2815" width="8.7109375" style="22" bestFit="1" customWidth="1"/>
    <col min="2816" max="2816" width="10.42578125" style="22" customWidth="1"/>
    <col min="2817" max="2824" width="10" style="22" bestFit="1" customWidth="1"/>
    <col min="2825" max="3066" width="9.140625" style="22"/>
    <col min="3067" max="3067" width="5.5703125" style="22" bestFit="1" customWidth="1"/>
    <col min="3068" max="3068" width="16.5703125" style="22" customWidth="1"/>
    <col min="3069" max="3069" width="10" style="22" bestFit="1" customWidth="1"/>
    <col min="3070" max="3070" width="6.42578125" style="22" bestFit="1" customWidth="1"/>
    <col min="3071" max="3071" width="8.7109375" style="22" bestFit="1" customWidth="1"/>
    <col min="3072" max="3072" width="10.42578125" style="22" customWidth="1"/>
    <col min="3073" max="3080" width="10" style="22" bestFit="1" customWidth="1"/>
    <col min="3081" max="3322" width="9.140625" style="22"/>
    <col min="3323" max="3323" width="5.5703125" style="22" bestFit="1" customWidth="1"/>
    <col min="3324" max="3324" width="16.5703125" style="22" customWidth="1"/>
    <col min="3325" max="3325" width="10" style="22" bestFit="1" customWidth="1"/>
    <col min="3326" max="3326" width="6.42578125" style="22" bestFit="1" customWidth="1"/>
    <col min="3327" max="3327" width="8.7109375" style="22" bestFit="1" customWidth="1"/>
    <col min="3328" max="3328" width="10.42578125" style="22" customWidth="1"/>
    <col min="3329" max="3336" width="10" style="22" bestFit="1" customWidth="1"/>
    <col min="3337" max="3578" width="9.140625" style="22"/>
    <col min="3579" max="3579" width="5.5703125" style="22" bestFit="1" customWidth="1"/>
    <col min="3580" max="3580" width="16.5703125" style="22" customWidth="1"/>
    <col min="3581" max="3581" width="10" style="22" bestFit="1" customWidth="1"/>
    <col min="3582" max="3582" width="6.42578125" style="22" bestFit="1" customWidth="1"/>
    <col min="3583" max="3583" width="8.7109375" style="22" bestFit="1" customWidth="1"/>
    <col min="3584" max="3584" width="10.42578125" style="22" customWidth="1"/>
    <col min="3585" max="3592" width="10" style="22" bestFit="1" customWidth="1"/>
    <col min="3593" max="3834" width="9.140625" style="22"/>
    <col min="3835" max="3835" width="5.5703125" style="22" bestFit="1" customWidth="1"/>
    <col min="3836" max="3836" width="16.5703125" style="22" customWidth="1"/>
    <col min="3837" max="3837" width="10" style="22" bestFit="1" customWidth="1"/>
    <col min="3838" max="3838" width="6.42578125" style="22" bestFit="1" customWidth="1"/>
    <col min="3839" max="3839" width="8.7109375" style="22" bestFit="1" customWidth="1"/>
    <col min="3840" max="3840" width="10.42578125" style="22" customWidth="1"/>
    <col min="3841" max="3848" width="10" style="22" bestFit="1" customWidth="1"/>
    <col min="3849" max="4090" width="9.140625" style="22"/>
    <col min="4091" max="4091" width="5.5703125" style="22" bestFit="1" customWidth="1"/>
    <col min="4092" max="4092" width="16.5703125" style="22" customWidth="1"/>
    <col min="4093" max="4093" width="10" style="22" bestFit="1" customWidth="1"/>
    <col min="4094" max="4094" width="6.42578125" style="22" bestFit="1" customWidth="1"/>
    <col min="4095" max="4095" width="8.7109375" style="22" bestFit="1" customWidth="1"/>
    <col min="4096" max="4096" width="10.42578125" style="22" customWidth="1"/>
    <col min="4097" max="4104" width="10" style="22" bestFit="1" customWidth="1"/>
    <col min="4105" max="4346" width="9.140625" style="22"/>
    <col min="4347" max="4347" width="5.5703125" style="22" bestFit="1" customWidth="1"/>
    <col min="4348" max="4348" width="16.5703125" style="22" customWidth="1"/>
    <col min="4349" max="4349" width="10" style="22" bestFit="1" customWidth="1"/>
    <col min="4350" max="4350" width="6.42578125" style="22" bestFit="1" customWidth="1"/>
    <col min="4351" max="4351" width="8.7109375" style="22" bestFit="1" customWidth="1"/>
    <col min="4352" max="4352" width="10.42578125" style="22" customWidth="1"/>
    <col min="4353" max="4360" width="10" style="22" bestFit="1" customWidth="1"/>
    <col min="4361" max="4602" width="9.140625" style="22"/>
    <col min="4603" max="4603" width="5.5703125" style="22" bestFit="1" customWidth="1"/>
    <col min="4604" max="4604" width="16.5703125" style="22" customWidth="1"/>
    <col min="4605" max="4605" width="10" style="22" bestFit="1" customWidth="1"/>
    <col min="4606" max="4606" width="6.42578125" style="22" bestFit="1" customWidth="1"/>
    <col min="4607" max="4607" width="8.7109375" style="22" bestFit="1" customWidth="1"/>
    <col min="4608" max="4608" width="10.42578125" style="22" customWidth="1"/>
    <col min="4609" max="4616" width="10" style="22" bestFit="1" customWidth="1"/>
    <col min="4617" max="4858" width="9.140625" style="22"/>
    <col min="4859" max="4859" width="5.5703125" style="22" bestFit="1" customWidth="1"/>
    <col min="4860" max="4860" width="16.5703125" style="22" customWidth="1"/>
    <col min="4861" max="4861" width="10" style="22" bestFit="1" customWidth="1"/>
    <col min="4862" max="4862" width="6.42578125" style="22" bestFit="1" customWidth="1"/>
    <col min="4863" max="4863" width="8.7109375" style="22" bestFit="1" customWidth="1"/>
    <col min="4864" max="4864" width="10.42578125" style="22" customWidth="1"/>
    <col min="4865" max="4872" width="10" style="22" bestFit="1" customWidth="1"/>
    <col min="4873" max="5114" width="9.140625" style="22"/>
    <col min="5115" max="5115" width="5.5703125" style="22" bestFit="1" customWidth="1"/>
    <col min="5116" max="5116" width="16.5703125" style="22" customWidth="1"/>
    <col min="5117" max="5117" width="10" style="22" bestFit="1" customWidth="1"/>
    <col min="5118" max="5118" width="6.42578125" style="22" bestFit="1" customWidth="1"/>
    <col min="5119" max="5119" width="8.7109375" style="22" bestFit="1" customWidth="1"/>
    <col min="5120" max="5120" width="10.42578125" style="22" customWidth="1"/>
    <col min="5121" max="5128" width="10" style="22" bestFit="1" customWidth="1"/>
    <col min="5129" max="5370" width="9.140625" style="22"/>
    <col min="5371" max="5371" width="5.5703125" style="22" bestFit="1" customWidth="1"/>
    <col min="5372" max="5372" width="16.5703125" style="22" customWidth="1"/>
    <col min="5373" max="5373" width="10" style="22" bestFit="1" customWidth="1"/>
    <col min="5374" max="5374" width="6.42578125" style="22" bestFit="1" customWidth="1"/>
    <col min="5375" max="5375" width="8.7109375" style="22" bestFit="1" customWidth="1"/>
    <col min="5376" max="5376" width="10.42578125" style="22" customWidth="1"/>
    <col min="5377" max="5384" width="10" style="22" bestFit="1" customWidth="1"/>
    <col min="5385" max="5626" width="9.140625" style="22"/>
    <col min="5627" max="5627" width="5.5703125" style="22" bestFit="1" customWidth="1"/>
    <col min="5628" max="5628" width="16.5703125" style="22" customWidth="1"/>
    <col min="5629" max="5629" width="10" style="22" bestFit="1" customWidth="1"/>
    <col min="5630" max="5630" width="6.42578125" style="22" bestFit="1" customWidth="1"/>
    <col min="5631" max="5631" width="8.7109375" style="22" bestFit="1" customWidth="1"/>
    <col min="5632" max="5632" width="10.42578125" style="22" customWidth="1"/>
    <col min="5633" max="5640" width="10" style="22" bestFit="1" customWidth="1"/>
    <col min="5641" max="5882" width="9.140625" style="22"/>
    <col min="5883" max="5883" width="5.5703125" style="22" bestFit="1" customWidth="1"/>
    <col min="5884" max="5884" width="16.5703125" style="22" customWidth="1"/>
    <col min="5885" max="5885" width="10" style="22" bestFit="1" customWidth="1"/>
    <col min="5886" max="5886" width="6.42578125" style="22" bestFit="1" customWidth="1"/>
    <col min="5887" max="5887" width="8.7109375" style="22" bestFit="1" customWidth="1"/>
    <col min="5888" max="5888" width="10.42578125" style="22" customWidth="1"/>
    <col min="5889" max="5896" width="10" style="22" bestFit="1" customWidth="1"/>
    <col min="5897" max="6138" width="9.140625" style="22"/>
    <col min="6139" max="6139" width="5.5703125" style="22" bestFit="1" customWidth="1"/>
    <col min="6140" max="6140" width="16.5703125" style="22" customWidth="1"/>
    <col min="6141" max="6141" width="10" style="22" bestFit="1" customWidth="1"/>
    <col min="6142" max="6142" width="6.42578125" style="22" bestFit="1" customWidth="1"/>
    <col min="6143" max="6143" width="8.7109375" style="22" bestFit="1" customWidth="1"/>
    <col min="6144" max="6144" width="10.42578125" style="22" customWidth="1"/>
    <col min="6145" max="6152" width="10" style="22" bestFit="1" customWidth="1"/>
    <col min="6153" max="6394" width="9.140625" style="22"/>
    <col min="6395" max="6395" width="5.5703125" style="22" bestFit="1" customWidth="1"/>
    <col min="6396" max="6396" width="16.5703125" style="22" customWidth="1"/>
    <col min="6397" max="6397" width="10" style="22" bestFit="1" customWidth="1"/>
    <col min="6398" max="6398" width="6.42578125" style="22" bestFit="1" customWidth="1"/>
    <col min="6399" max="6399" width="8.7109375" style="22" bestFit="1" customWidth="1"/>
    <col min="6400" max="6400" width="10.42578125" style="22" customWidth="1"/>
    <col min="6401" max="6408" width="10" style="22" bestFit="1" customWidth="1"/>
    <col min="6409" max="6650" width="9.140625" style="22"/>
    <col min="6651" max="6651" width="5.5703125" style="22" bestFit="1" customWidth="1"/>
    <col min="6652" max="6652" width="16.5703125" style="22" customWidth="1"/>
    <col min="6653" max="6653" width="10" style="22" bestFit="1" customWidth="1"/>
    <col min="6654" max="6654" width="6.42578125" style="22" bestFit="1" customWidth="1"/>
    <col min="6655" max="6655" width="8.7109375" style="22" bestFit="1" customWidth="1"/>
    <col min="6656" max="6656" width="10.42578125" style="22" customWidth="1"/>
    <col min="6657" max="6664" width="10" style="22" bestFit="1" customWidth="1"/>
    <col min="6665" max="6906" width="9.140625" style="22"/>
    <col min="6907" max="6907" width="5.5703125" style="22" bestFit="1" customWidth="1"/>
    <col min="6908" max="6908" width="16.5703125" style="22" customWidth="1"/>
    <col min="6909" max="6909" width="10" style="22" bestFit="1" customWidth="1"/>
    <col min="6910" max="6910" width="6.42578125" style="22" bestFit="1" customWidth="1"/>
    <col min="6911" max="6911" width="8.7109375" style="22" bestFit="1" customWidth="1"/>
    <col min="6912" max="6912" width="10.42578125" style="22" customWidth="1"/>
    <col min="6913" max="6920" width="10" style="22" bestFit="1" customWidth="1"/>
    <col min="6921" max="7162" width="9.140625" style="22"/>
    <col min="7163" max="7163" width="5.5703125" style="22" bestFit="1" customWidth="1"/>
    <col min="7164" max="7164" width="16.5703125" style="22" customWidth="1"/>
    <col min="7165" max="7165" width="10" style="22" bestFit="1" customWidth="1"/>
    <col min="7166" max="7166" width="6.42578125" style="22" bestFit="1" customWidth="1"/>
    <col min="7167" max="7167" width="8.7109375" style="22" bestFit="1" customWidth="1"/>
    <col min="7168" max="7168" width="10.42578125" style="22" customWidth="1"/>
    <col min="7169" max="7176" width="10" style="22" bestFit="1" customWidth="1"/>
    <col min="7177" max="7418" width="9.140625" style="22"/>
    <col min="7419" max="7419" width="5.5703125" style="22" bestFit="1" customWidth="1"/>
    <col min="7420" max="7420" width="16.5703125" style="22" customWidth="1"/>
    <col min="7421" max="7421" width="10" style="22" bestFit="1" customWidth="1"/>
    <col min="7422" max="7422" width="6.42578125" style="22" bestFit="1" customWidth="1"/>
    <col min="7423" max="7423" width="8.7109375" style="22" bestFit="1" customWidth="1"/>
    <col min="7424" max="7424" width="10.42578125" style="22" customWidth="1"/>
    <col min="7425" max="7432" width="10" style="22" bestFit="1" customWidth="1"/>
    <col min="7433" max="7674" width="9.140625" style="22"/>
    <col min="7675" max="7675" width="5.5703125" style="22" bestFit="1" customWidth="1"/>
    <col min="7676" max="7676" width="16.5703125" style="22" customWidth="1"/>
    <col min="7677" max="7677" width="10" style="22" bestFit="1" customWidth="1"/>
    <col min="7678" max="7678" width="6.42578125" style="22" bestFit="1" customWidth="1"/>
    <col min="7679" max="7679" width="8.7109375" style="22" bestFit="1" customWidth="1"/>
    <col min="7680" max="7680" width="10.42578125" style="22" customWidth="1"/>
    <col min="7681" max="7688" width="10" style="22" bestFit="1" customWidth="1"/>
    <col min="7689" max="7930" width="9.140625" style="22"/>
    <col min="7931" max="7931" width="5.5703125" style="22" bestFit="1" customWidth="1"/>
    <col min="7932" max="7932" width="16.5703125" style="22" customWidth="1"/>
    <col min="7933" max="7933" width="10" style="22" bestFit="1" customWidth="1"/>
    <col min="7934" max="7934" width="6.42578125" style="22" bestFit="1" customWidth="1"/>
    <col min="7935" max="7935" width="8.7109375" style="22" bestFit="1" customWidth="1"/>
    <col min="7936" max="7936" width="10.42578125" style="22" customWidth="1"/>
    <col min="7937" max="7944" width="10" style="22" bestFit="1" customWidth="1"/>
    <col min="7945" max="8186" width="9.140625" style="22"/>
    <col min="8187" max="8187" width="5.5703125" style="22" bestFit="1" customWidth="1"/>
    <col min="8188" max="8188" width="16.5703125" style="22" customWidth="1"/>
    <col min="8189" max="8189" width="10" style="22" bestFit="1" customWidth="1"/>
    <col min="8190" max="8190" width="6.42578125" style="22" bestFit="1" customWidth="1"/>
    <col min="8191" max="8191" width="8.7109375" style="22" bestFit="1" customWidth="1"/>
    <col min="8192" max="8192" width="10.42578125" style="22" customWidth="1"/>
    <col min="8193" max="8200" width="10" style="22" bestFit="1" customWidth="1"/>
    <col min="8201" max="8442" width="9.140625" style="22"/>
    <col min="8443" max="8443" width="5.5703125" style="22" bestFit="1" customWidth="1"/>
    <col min="8444" max="8444" width="16.5703125" style="22" customWidth="1"/>
    <col min="8445" max="8445" width="10" style="22" bestFit="1" customWidth="1"/>
    <col min="8446" max="8446" width="6.42578125" style="22" bestFit="1" customWidth="1"/>
    <col min="8447" max="8447" width="8.7109375" style="22" bestFit="1" customWidth="1"/>
    <col min="8448" max="8448" width="10.42578125" style="22" customWidth="1"/>
    <col min="8449" max="8456" width="10" style="22" bestFit="1" customWidth="1"/>
    <col min="8457" max="8698" width="9.140625" style="22"/>
    <col min="8699" max="8699" width="5.5703125" style="22" bestFit="1" customWidth="1"/>
    <col min="8700" max="8700" width="16.5703125" style="22" customWidth="1"/>
    <col min="8701" max="8701" width="10" style="22" bestFit="1" customWidth="1"/>
    <col min="8702" max="8702" width="6.42578125" style="22" bestFit="1" customWidth="1"/>
    <col min="8703" max="8703" width="8.7109375" style="22" bestFit="1" customWidth="1"/>
    <col min="8704" max="8704" width="10.42578125" style="22" customWidth="1"/>
    <col min="8705" max="8712" width="10" style="22" bestFit="1" customWidth="1"/>
    <col min="8713" max="8954" width="9.140625" style="22"/>
    <col min="8955" max="8955" width="5.5703125" style="22" bestFit="1" customWidth="1"/>
    <col min="8956" max="8956" width="16.5703125" style="22" customWidth="1"/>
    <col min="8957" max="8957" width="10" style="22" bestFit="1" customWidth="1"/>
    <col min="8958" max="8958" width="6.42578125" style="22" bestFit="1" customWidth="1"/>
    <col min="8959" max="8959" width="8.7109375" style="22" bestFit="1" customWidth="1"/>
    <col min="8960" max="8960" width="10.42578125" style="22" customWidth="1"/>
    <col min="8961" max="8968" width="10" style="22" bestFit="1" customWidth="1"/>
    <col min="8969" max="9210" width="9.140625" style="22"/>
    <col min="9211" max="9211" width="5.5703125" style="22" bestFit="1" customWidth="1"/>
    <col min="9212" max="9212" width="16.5703125" style="22" customWidth="1"/>
    <col min="9213" max="9213" width="10" style="22" bestFit="1" customWidth="1"/>
    <col min="9214" max="9214" width="6.42578125" style="22" bestFit="1" customWidth="1"/>
    <col min="9215" max="9215" width="8.7109375" style="22" bestFit="1" customWidth="1"/>
    <col min="9216" max="9216" width="10.42578125" style="22" customWidth="1"/>
    <col min="9217" max="9224" width="10" style="22" bestFit="1" customWidth="1"/>
    <col min="9225" max="9466" width="9.140625" style="22"/>
    <col min="9467" max="9467" width="5.5703125" style="22" bestFit="1" customWidth="1"/>
    <col min="9468" max="9468" width="16.5703125" style="22" customWidth="1"/>
    <col min="9469" max="9469" width="10" style="22" bestFit="1" customWidth="1"/>
    <col min="9470" max="9470" width="6.42578125" style="22" bestFit="1" customWidth="1"/>
    <col min="9471" max="9471" width="8.7109375" style="22" bestFit="1" customWidth="1"/>
    <col min="9472" max="9472" width="10.42578125" style="22" customWidth="1"/>
    <col min="9473" max="9480" width="10" style="22" bestFit="1" customWidth="1"/>
    <col min="9481" max="9722" width="9.140625" style="22"/>
    <col min="9723" max="9723" width="5.5703125" style="22" bestFit="1" customWidth="1"/>
    <col min="9724" max="9724" width="16.5703125" style="22" customWidth="1"/>
    <col min="9725" max="9725" width="10" style="22" bestFit="1" customWidth="1"/>
    <col min="9726" max="9726" width="6.42578125" style="22" bestFit="1" customWidth="1"/>
    <col min="9727" max="9727" width="8.7109375" style="22" bestFit="1" customWidth="1"/>
    <col min="9728" max="9728" width="10.42578125" style="22" customWidth="1"/>
    <col min="9729" max="9736" width="10" style="22" bestFit="1" customWidth="1"/>
    <col min="9737" max="9978" width="9.140625" style="22"/>
    <col min="9979" max="9979" width="5.5703125" style="22" bestFit="1" customWidth="1"/>
    <col min="9980" max="9980" width="16.5703125" style="22" customWidth="1"/>
    <col min="9981" max="9981" width="10" style="22" bestFit="1" customWidth="1"/>
    <col min="9982" max="9982" width="6.42578125" style="22" bestFit="1" customWidth="1"/>
    <col min="9983" max="9983" width="8.7109375" style="22" bestFit="1" customWidth="1"/>
    <col min="9984" max="9984" width="10.42578125" style="22" customWidth="1"/>
    <col min="9985" max="9992" width="10" style="22" bestFit="1" customWidth="1"/>
    <col min="9993" max="10234" width="9.140625" style="22"/>
    <col min="10235" max="10235" width="5.5703125" style="22" bestFit="1" customWidth="1"/>
    <col min="10236" max="10236" width="16.5703125" style="22" customWidth="1"/>
    <col min="10237" max="10237" width="10" style="22" bestFit="1" customWidth="1"/>
    <col min="10238" max="10238" width="6.42578125" style="22" bestFit="1" customWidth="1"/>
    <col min="10239" max="10239" width="8.7109375" style="22" bestFit="1" customWidth="1"/>
    <col min="10240" max="10240" width="10.42578125" style="22" customWidth="1"/>
    <col min="10241" max="10248" width="10" style="22" bestFit="1" customWidth="1"/>
    <col min="10249" max="10490" width="9.140625" style="22"/>
    <col min="10491" max="10491" width="5.5703125" style="22" bestFit="1" customWidth="1"/>
    <col min="10492" max="10492" width="16.5703125" style="22" customWidth="1"/>
    <col min="10493" max="10493" width="10" style="22" bestFit="1" customWidth="1"/>
    <col min="10494" max="10494" width="6.42578125" style="22" bestFit="1" customWidth="1"/>
    <col min="10495" max="10495" width="8.7109375" style="22" bestFit="1" customWidth="1"/>
    <col min="10496" max="10496" width="10.42578125" style="22" customWidth="1"/>
    <col min="10497" max="10504" width="10" style="22" bestFit="1" customWidth="1"/>
    <col min="10505" max="10746" width="9.140625" style="22"/>
    <col min="10747" max="10747" width="5.5703125" style="22" bestFit="1" customWidth="1"/>
    <col min="10748" max="10748" width="16.5703125" style="22" customWidth="1"/>
    <col min="10749" max="10749" width="10" style="22" bestFit="1" customWidth="1"/>
    <col min="10750" max="10750" width="6.42578125" style="22" bestFit="1" customWidth="1"/>
    <col min="10751" max="10751" width="8.7109375" style="22" bestFit="1" customWidth="1"/>
    <col min="10752" max="10752" width="10.42578125" style="22" customWidth="1"/>
    <col min="10753" max="10760" width="10" style="22" bestFit="1" customWidth="1"/>
    <col min="10761" max="11002" width="9.140625" style="22"/>
    <col min="11003" max="11003" width="5.5703125" style="22" bestFit="1" customWidth="1"/>
    <col min="11004" max="11004" width="16.5703125" style="22" customWidth="1"/>
    <col min="11005" max="11005" width="10" style="22" bestFit="1" customWidth="1"/>
    <col min="11006" max="11006" width="6.42578125" style="22" bestFit="1" customWidth="1"/>
    <col min="11007" max="11007" width="8.7109375" style="22" bestFit="1" customWidth="1"/>
    <col min="11008" max="11008" width="10.42578125" style="22" customWidth="1"/>
    <col min="11009" max="11016" width="10" style="22" bestFit="1" customWidth="1"/>
    <col min="11017" max="11258" width="9.140625" style="22"/>
    <col min="11259" max="11259" width="5.5703125" style="22" bestFit="1" customWidth="1"/>
    <col min="11260" max="11260" width="16.5703125" style="22" customWidth="1"/>
    <col min="11261" max="11261" width="10" style="22" bestFit="1" customWidth="1"/>
    <col min="11262" max="11262" width="6.42578125" style="22" bestFit="1" customWidth="1"/>
    <col min="11263" max="11263" width="8.7109375" style="22" bestFit="1" customWidth="1"/>
    <col min="11264" max="11264" width="10.42578125" style="22" customWidth="1"/>
    <col min="11265" max="11272" width="10" style="22" bestFit="1" customWidth="1"/>
    <col min="11273" max="11514" width="9.140625" style="22"/>
    <col min="11515" max="11515" width="5.5703125" style="22" bestFit="1" customWidth="1"/>
    <col min="11516" max="11516" width="16.5703125" style="22" customWidth="1"/>
    <col min="11517" max="11517" width="10" style="22" bestFit="1" customWidth="1"/>
    <col min="11518" max="11518" width="6.42578125" style="22" bestFit="1" customWidth="1"/>
    <col min="11519" max="11519" width="8.7109375" style="22" bestFit="1" customWidth="1"/>
    <col min="11520" max="11520" width="10.42578125" style="22" customWidth="1"/>
    <col min="11521" max="11528" width="10" style="22" bestFit="1" customWidth="1"/>
    <col min="11529" max="11770" width="9.140625" style="22"/>
    <col min="11771" max="11771" width="5.5703125" style="22" bestFit="1" customWidth="1"/>
    <col min="11772" max="11772" width="16.5703125" style="22" customWidth="1"/>
    <col min="11773" max="11773" width="10" style="22" bestFit="1" customWidth="1"/>
    <col min="11774" max="11774" width="6.42578125" style="22" bestFit="1" customWidth="1"/>
    <col min="11775" max="11775" width="8.7109375" style="22" bestFit="1" customWidth="1"/>
    <col min="11776" max="11776" width="10.42578125" style="22" customWidth="1"/>
    <col min="11777" max="11784" width="10" style="22" bestFit="1" customWidth="1"/>
    <col min="11785" max="12026" width="9.140625" style="22"/>
    <col min="12027" max="12027" width="5.5703125" style="22" bestFit="1" customWidth="1"/>
    <col min="12028" max="12028" width="16.5703125" style="22" customWidth="1"/>
    <col min="12029" max="12029" width="10" style="22" bestFit="1" customWidth="1"/>
    <col min="12030" max="12030" width="6.42578125" style="22" bestFit="1" customWidth="1"/>
    <col min="12031" max="12031" width="8.7109375" style="22" bestFit="1" customWidth="1"/>
    <col min="12032" max="12032" width="10.42578125" style="22" customWidth="1"/>
    <col min="12033" max="12040" width="10" style="22" bestFit="1" customWidth="1"/>
    <col min="12041" max="12282" width="9.140625" style="22"/>
    <col min="12283" max="12283" width="5.5703125" style="22" bestFit="1" customWidth="1"/>
    <col min="12284" max="12284" width="16.5703125" style="22" customWidth="1"/>
    <col min="12285" max="12285" width="10" style="22" bestFit="1" customWidth="1"/>
    <col min="12286" max="12286" width="6.42578125" style="22" bestFit="1" customWidth="1"/>
    <col min="12287" max="12287" width="8.7109375" style="22" bestFit="1" customWidth="1"/>
    <col min="12288" max="12288" width="10.42578125" style="22" customWidth="1"/>
    <col min="12289" max="12296" width="10" style="22" bestFit="1" customWidth="1"/>
    <col min="12297" max="12538" width="9.140625" style="22"/>
    <col min="12539" max="12539" width="5.5703125" style="22" bestFit="1" customWidth="1"/>
    <col min="12540" max="12540" width="16.5703125" style="22" customWidth="1"/>
    <col min="12541" max="12541" width="10" style="22" bestFit="1" customWidth="1"/>
    <col min="12542" max="12542" width="6.42578125" style="22" bestFit="1" customWidth="1"/>
    <col min="12543" max="12543" width="8.7109375" style="22" bestFit="1" customWidth="1"/>
    <col min="12544" max="12544" width="10.42578125" style="22" customWidth="1"/>
    <col min="12545" max="12552" width="10" style="22" bestFit="1" customWidth="1"/>
    <col min="12553" max="12794" width="9.140625" style="22"/>
    <col min="12795" max="12795" width="5.5703125" style="22" bestFit="1" customWidth="1"/>
    <col min="12796" max="12796" width="16.5703125" style="22" customWidth="1"/>
    <col min="12797" max="12797" width="10" style="22" bestFit="1" customWidth="1"/>
    <col min="12798" max="12798" width="6.42578125" style="22" bestFit="1" customWidth="1"/>
    <col min="12799" max="12799" width="8.7109375" style="22" bestFit="1" customWidth="1"/>
    <col min="12800" max="12800" width="10.42578125" style="22" customWidth="1"/>
    <col min="12801" max="12808" width="10" style="22" bestFit="1" customWidth="1"/>
    <col min="12809" max="13050" width="9.140625" style="22"/>
    <col min="13051" max="13051" width="5.5703125" style="22" bestFit="1" customWidth="1"/>
    <col min="13052" max="13052" width="16.5703125" style="22" customWidth="1"/>
    <col min="13053" max="13053" width="10" style="22" bestFit="1" customWidth="1"/>
    <col min="13054" max="13054" width="6.42578125" style="22" bestFit="1" customWidth="1"/>
    <col min="13055" max="13055" width="8.7109375" style="22" bestFit="1" customWidth="1"/>
    <col min="13056" max="13056" width="10.42578125" style="22" customWidth="1"/>
    <col min="13057" max="13064" width="10" style="22" bestFit="1" customWidth="1"/>
    <col min="13065" max="13306" width="9.140625" style="22"/>
    <col min="13307" max="13307" width="5.5703125" style="22" bestFit="1" customWidth="1"/>
    <col min="13308" max="13308" width="16.5703125" style="22" customWidth="1"/>
    <col min="13309" max="13309" width="10" style="22" bestFit="1" customWidth="1"/>
    <col min="13310" max="13310" width="6.42578125" style="22" bestFit="1" customWidth="1"/>
    <col min="13311" max="13311" width="8.7109375" style="22" bestFit="1" customWidth="1"/>
    <col min="13312" max="13312" width="10.42578125" style="22" customWidth="1"/>
    <col min="13313" max="13320" width="10" style="22" bestFit="1" customWidth="1"/>
    <col min="13321" max="13562" width="9.140625" style="22"/>
    <col min="13563" max="13563" width="5.5703125" style="22" bestFit="1" customWidth="1"/>
    <col min="13564" max="13564" width="16.5703125" style="22" customWidth="1"/>
    <col min="13565" max="13565" width="10" style="22" bestFit="1" customWidth="1"/>
    <col min="13566" max="13566" width="6.42578125" style="22" bestFit="1" customWidth="1"/>
    <col min="13567" max="13567" width="8.7109375" style="22" bestFit="1" customWidth="1"/>
    <col min="13568" max="13568" width="10.42578125" style="22" customWidth="1"/>
    <col min="13569" max="13576" width="10" style="22" bestFit="1" customWidth="1"/>
    <col min="13577" max="13818" width="9.140625" style="22"/>
    <col min="13819" max="13819" width="5.5703125" style="22" bestFit="1" customWidth="1"/>
    <col min="13820" max="13820" width="16.5703125" style="22" customWidth="1"/>
    <col min="13821" max="13821" width="10" style="22" bestFit="1" customWidth="1"/>
    <col min="13822" max="13822" width="6.42578125" style="22" bestFit="1" customWidth="1"/>
    <col min="13823" max="13823" width="8.7109375" style="22" bestFit="1" customWidth="1"/>
    <col min="13824" max="13824" width="10.42578125" style="22" customWidth="1"/>
    <col min="13825" max="13832" width="10" style="22" bestFit="1" customWidth="1"/>
    <col min="13833" max="14074" width="9.140625" style="22"/>
    <col min="14075" max="14075" width="5.5703125" style="22" bestFit="1" customWidth="1"/>
    <col min="14076" max="14076" width="16.5703125" style="22" customWidth="1"/>
    <col min="14077" max="14077" width="10" style="22" bestFit="1" customWidth="1"/>
    <col min="14078" max="14078" width="6.42578125" style="22" bestFit="1" customWidth="1"/>
    <col min="14079" max="14079" width="8.7109375" style="22" bestFit="1" customWidth="1"/>
    <col min="14080" max="14080" width="10.42578125" style="22" customWidth="1"/>
    <col min="14081" max="14088" width="10" style="22" bestFit="1" customWidth="1"/>
    <col min="14089" max="14330" width="9.140625" style="22"/>
    <col min="14331" max="14331" width="5.5703125" style="22" bestFit="1" customWidth="1"/>
    <col min="14332" max="14332" width="16.5703125" style="22" customWidth="1"/>
    <col min="14333" max="14333" width="10" style="22" bestFit="1" customWidth="1"/>
    <col min="14334" max="14334" width="6.42578125" style="22" bestFit="1" customWidth="1"/>
    <col min="14335" max="14335" width="8.7109375" style="22" bestFit="1" customWidth="1"/>
    <col min="14336" max="14336" width="10.42578125" style="22" customWidth="1"/>
    <col min="14337" max="14344" width="10" style="22" bestFit="1" customWidth="1"/>
    <col min="14345" max="14586" width="9.140625" style="22"/>
    <col min="14587" max="14587" width="5.5703125" style="22" bestFit="1" customWidth="1"/>
    <col min="14588" max="14588" width="16.5703125" style="22" customWidth="1"/>
    <col min="14589" max="14589" width="10" style="22" bestFit="1" customWidth="1"/>
    <col min="14590" max="14590" width="6.42578125" style="22" bestFit="1" customWidth="1"/>
    <col min="14591" max="14591" width="8.7109375" style="22" bestFit="1" customWidth="1"/>
    <col min="14592" max="14592" width="10.42578125" style="22" customWidth="1"/>
    <col min="14593" max="14600" width="10" style="22" bestFit="1" customWidth="1"/>
    <col min="14601" max="14842" width="9.140625" style="22"/>
    <col min="14843" max="14843" width="5.5703125" style="22" bestFit="1" customWidth="1"/>
    <col min="14844" max="14844" width="16.5703125" style="22" customWidth="1"/>
    <col min="14845" max="14845" width="10" style="22" bestFit="1" customWidth="1"/>
    <col min="14846" max="14846" width="6.42578125" style="22" bestFit="1" customWidth="1"/>
    <col min="14847" max="14847" width="8.7109375" style="22" bestFit="1" customWidth="1"/>
    <col min="14848" max="14848" width="10.42578125" style="22" customWidth="1"/>
    <col min="14849" max="14856" width="10" style="22" bestFit="1" customWidth="1"/>
    <col min="14857" max="15098" width="9.140625" style="22"/>
    <col min="15099" max="15099" width="5.5703125" style="22" bestFit="1" customWidth="1"/>
    <col min="15100" max="15100" width="16.5703125" style="22" customWidth="1"/>
    <col min="15101" max="15101" width="10" style="22" bestFit="1" customWidth="1"/>
    <col min="15102" max="15102" width="6.42578125" style="22" bestFit="1" customWidth="1"/>
    <col min="15103" max="15103" width="8.7109375" style="22" bestFit="1" customWidth="1"/>
    <col min="15104" max="15104" width="10.42578125" style="22" customWidth="1"/>
    <col min="15105" max="15112" width="10" style="22" bestFit="1" customWidth="1"/>
    <col min="15113" max="15354" width="9.140625" style="22"/>
    <col min="15355" max="15355" width="5.5703125" style="22" bestFit="1" customWidth="1"/>
    <col min="15356" max="15356" width="16.5703125" style="22" customWidth="1"/>
    <col min="15357" max="15357" width="10" style="22" bestFit="1" customWidth="1"/>
    <col min="15358" max="15358" width="6.42578125" style="22" bestFit="1" customWidth="1"/>
    <col min="15359" max="15359" width="8.7109375" style="22" bestFit="1" customWidth="1"/>
    <col min="15360" max="15360" width="10.42578125" style="22" customWidth="1"/>
    <col min="15361" max="15368" width="10" style="22" bestFit="1" customWidth="1"/>
    <col min="15369" max="15610" width="9.140625" style="22"/>
    <col min="15611" max="15611" width="5.5703125" style="22" bestFit="1" customWidth="1"/>
    <col min="15612" max="15612" width="16.5703125" style="22" customWidth="1"/>
    <col min="15613" max="15613" width="10" style="22" bestFit="1" customWidth="1"/>
    <col min="15614" max="15614" width="6.42578125" style="22" bestFit="1" customWidth="1"/>
    <col min="15615" max="15615" width="8.7109375" style="22" bestFit="1" customWidth="1"/>
    <col min="15616" max="15616" width="10.42578125" style="22" customWidth="1"/>
    <col min="15617" max="15624" width="10" style="22" bestFit="1" customWidth="1"/>
    <col min="15625" max="15866" width="9.140625" style="22"/>
    <col min="15867" max="15867" width="5.5703125" style="22" bestFit="1" customWidth="1"/>
    <col min="15868" max="15868" width="16.5703125" style="22" customWidth="1"/>
    <col min="15869" max="15869" width="10" style="22" bestFit="1" customWidth="1"/>
    <col min="15870" max="15870" width="6.42578125" style="22" bestFit="1" customWidth="1"/>
    <col min="15871" max="15871" width="8.7109375" style="22" bestFit="1" customWidth="1"/>
    <col min="15872" max="15872" width="10.42578125" style="22" customWidth="1"/>
    <col min="15873" max="15880" width="10" style="22" bestFit="1" customWidth="1"/>
    <col min="15881" max="16122" width="9.140625" style="22"/>
    <col min="16123" max="16123" width="5.5703125" style="22" bestFit="1" customWidth="1"/>
    <col min="16124" max="16124" width="16.5703125" style="22" customWidth="1"/>
    <col min="16125" max="16125" width="10" style="22" bestFit="1" customWidth="1"/>
    <col min="16126" max="16126" width="6.42578125" style="22" bestFit="1" customWidth="1"/>
    <col min="16127" max="16127" width="8.7109375" style="22" bestFit="1" customWidth="1"/>
    <col min="16128" max="16128" width="10.42578125" style="22" customWidth="1"/>
    <col min="16129" max="16136" width="10" style="22" bestFit="1" customWidth="1"/>
    <col min="16137" max="16384" width="9.140625" style="22"/>
  </cols>
  <sheetData>
    <row r="1" spans="1:8" ht="18.75" x14ac:dyDescent="0.25">
      <c r="A1" s="88" t="s">
        <v>46</v>
      </c>
      <c r="B1" s="89"/>
      <c r="C1" s="89"/>
      <c r="D1" s="89"/>
      <c r="E1" s="89"/>
      <c r="F1" s="89"/>
      <c r="G1" s="89"/>
      <c r="H1" s="90"/>
    </row>
    <row r="2" spans="1:8" ht="15" x14ac:dyDescent="0.25">
      <c r="A2" s="91" t="s">
        <v>47</v>
      </c>
      <c r="B2" s="92"/>
      <c r="C2" s="92"/>
      <c r="D2" s="92"/>
      <c r="E2" s="92"/>
      <c r="F2" s="92"/>
      <c r="G2" s="92"/>
      <c r="H2" s="93"/>
    </row>
    <row r="3" spans="1:8" ht="15" x14ac:dyDescent="0.25">
      <c r="A3" s="94" t="s">
        <v>48</v>
      </c>
      <c r="B3" s="95"/>
      <c r="C3" s="95"/>
      <c r="D3" s="95"/>
      <c r="E3" s="95"/>
      <c r="F3" s="95"/>
      <c r="G3" s="95"/>
      <c r="H3" s="96"/>
    </row>
    <row r="4" spans="1:8" ht="15" x14ac:dyDescent="0.25">
      <c r="A4" s="97" t="s">
        <v>98</v>
      </c>
      <c r="B4" s="97"/>
      <c r="C4" s="97"/>
      <c r="D4" s="97"/>
      <c r="E4" s="97"/>
      <c r="F4" s="97"/>
      <c r="G4" s="97"/>
      <c r="H4" s="97"/>
    </row>
    <row r="5" spans="1:8" ht="20.25" customHeight="1" x14ac:dyDescent="0.25">
      <c r="A5" s="103" t="s">
        <v>96</v>
      </c>
      <c r="B5" s="103"/>
      <c r="C5" s="103"/>
      <c r="D5" s="103"/>
      <c r="E5" s="103"/>
      <c r="F5" s="103"/>
      <c r="G5" s="102" t="s">
        <v>157</v>
      </c>
      <c r="H5" s="102"/>
    </row>
    <row r="6" spans="1:8" x14ac:dyDescent="0.25">
      <c r="A6" s="23" t="s">
        <v>25</v>
      </c>
      <c r="B6" s="23" t="s">
        <v>99</v>
      </c>
      <c r="C6" s="23" t="s">
        <v>100</v>
      </c>
      <c r="D6" s="23" t="s">
        <v>101</v>
      </c>
      <c r="E6" s="23" t="s">
        <v>102</v>
      </c>
      <c r="F6" s="23" t="s">
        <v>103</v>
      </c>
      <c r="G6" s="23" t="s">
        <v>104</v>
      </c>
      <c r="H6" s="23" t="s">
        <v>105</v>
      </c>
    </row>
    <row r="7" spans="1:8" x14ac:dyDescent="0.25">
      <c r="A7" s="98">
        <v>1</v>
      </c>
      <c r="B7" s="99" t="s">
        <v>27</v>
      </c>
      <c r="C7" s="24" t="s">
        <v>106</v>
      </c>
      <c r="D7" s="25" t="s">
        <v>107</v>
      </c>
      <c r="E7" s="26"/>
      <c r="F7" s="26"/>
      <c r="G7" s="26"/>
      <c r="H7" s="27"/>
    </row>
    <row r="8" spans="1:8" x14ac:dyDescent="0.25">
      <c r="A8" s="98"/>
      <c r="B8" s="99"/>
      <c r="C8" s="28">
        <f>C9/C$31</f>
        <v>3.0528075677122953E-2</v>
      </c>
      <c r="D8" s="25" t="s">
        <v>108</v>
      </c>
      <c r="E8" s="29">
        <f>E11</f>
        <v>0.33333333333333331</v>
      </c>
      <c r="F8" s="29">
        <f t="shared" ref="F8:G8" si="0">F11</f>
        <v>0.33333333333333331</v>
      </c>
      <c r="G8" s="29">
        <f t="shared" si="0"/>
        <v>0.33333333333333331</v>
      </c>
      <c r="H8" s="30">
        <f>SUM(E8:G8)</f>
        <v>1</v>
      </c>
    </row>
    <row r="9" spans="1:8" x14ac:dyDescent="0.25">
      <c r="A9" s="98"/>
      <c r="B9" s="99"/>
      <c r="C9" s="31">
        <f>PLANILHA!H10</f>
        <v>83509.66</v>
      </c>
      <c r="D9" s="25" t="s">
        <v>5</v>
      </c>
      <c r="E9" s="32">
        <f>$C9*E8</f>
        <v>27836.553333333333</v>
      </c>
      <c r="F9" s="32">
        <f t="shared" ref="F9:G9" si="1">$C9*F8</f>
        <v>27836.553333333333</v>
      </c>
      <c r="G9" s="32">
        <f t="shared" si="1"/>
        <v>27836.553333333333</v>
      </c>
      <c r="H9" s="33">
        <f>SUM(E9:G9)</f>
        <v>83509.66</v>
      </c>
    </row>
    <row r="10" spans="1:8" x14ac:dyDescent="0.25">
      <c r="A10" s="98">
        <v>2</v>
      </c>
      <c r="B10" s="99" t="s">
        <v>114</v>
      </c>
      <c r="C10" s="24" t="s">
        <v>106</v>
      </c>
      <c r="D10" s="25" t="s">
        <v>107</v>
      </c>
      <c r="E10" s="26"/>
      <c r="F10" s="26"/>
      <c r="G10" s="26"/>
      <c r="H10" s="27"/>
    </row>
    <row r="11" spans="1:8" x14ac:dyDescent="0.25">
      <c r="A11" s="98"/>
      <c r="B11" s="99"/>
      <c r="C11" s="28">
        <f>C12/C$31</f>
        <v>5.5174700430019916E-2</v>
      </c>
      <c r="D11" s="25" t="s">
        <v>108</v>
      </c>
      <c r="E11" s="29">
        <f>1/3</f>
        <v>0.33333333333333331</v>
      </c>
      <c r="F11" s="29">
        <f t="shared" ref="F11:G11" si="2">1/3</f>
        <v>0.33333333333333331</v>
      </c>
      <c r="G11" s="29">
        <f t="shared" si="2"/>
        <v>0.33333333333333331</v>
      </c>
      <c r="H11" s="30">
        <f>SUM(E11:G11)</f>
        <v>1</v>
      </c>
    </row>
    <row r="12" spans="1:8" x14ac:dyDescent="0.25">
      <c r="A12" s="98"/>
      <c r="B12" s="99"/>
      <c r="C12" s="31">
        <f>PLANILHA!H17</f>
        <v>150930.59</v>
      </c>
      <c r="D12" s="25" t="s">
        <v>5</v>
      </c>
      <c r="E12" s="32">
        <f>$C12*E11</f>
        <v>50310.196666666663</v>
      </c>
      <c r="F12" s="32">
        <f t="shared" ref="F12:G12" si="3">$C12*F11</f>
        <v>50310.196666666663</v>
      </c>
      <c r="G12" s="32">
        <f t="shared" si="3"/>
        <v>50310.196666666663</v>
      </c>
      <c r="H12" s="33">
        <f>SUM(E12:G12)</f>
        <v>150930.59</v>
      </c>
    </row>
    <row r="13" spans="1:8" x14ac:dyDescent="0.25">
      <c r="A13" s="98">
        <v>3</v>
      </c>
      <c r="B13" s="99" t="s">
        <v>19</v>
      </c>
      <c r="C13" s="24" t="s">
        <v>106</v>
      </c>
      <c r="D13" s="25" t="s">
        <v>107</v>
      </c>
      <c r="E13" s="26"/>
      <c r="F13" s="26"/>
      <c r="G13" s="26"/>
      <c r="H13" s="27"/>
    </row>
    <row r="14" spans="1:8" x14ac:dyDescent="0.25">
      <c r="A14" s="98"/>
      <c r="B14" s="99"/>
      <c r="C14" s="28">
        <f>C15/C$31</f>
        <v>3.5476568579290872E-2</v>
      </c>
      <c r="D14" s="25" t="s">
        <v>108</v>
      </c>
      <c r="E14" s="29">
        <f>1/3</f>
        <v>0.33333333333333331</v>
      </c>
      <c r="F14" s="29">
        <f t="shared" ref="F14:G14" si="4">1/3</f>
        <v>0.33333333333333331</v>
      </c>
      <c r="G14" s="29">
        <f t="shared" si="4"/>
        <v>0.33333333333333331</v>
      </c>
      <c r="H14" s="30">
        <f>SUM(E14:G14)</f>
        <v>1</v>
      </c>
    </row>
    <row r="15" spans="1:8" x14ac:dyDescent="0.25">
      <c r="A15" s="98"/>
      <c r="B15" s="99"/>
      <c r="C15" s="31">
        <f>PLANILHA!H19</f>
        <v>97046.28</v>
      </c>
      <c r="D15" s="25" t="s">
        <v>5</v>
      </c>
      <c r="E15" s="32">
        <f t="shared" ref="E15:G15" si="5">$C15*E14</f>
        <v>32348.76</v>
      </c>
      <c r="F15" s="32">
        <f t="shared" si="5"/>
        <v>32348.76</v>
      </c>
      <c r="G15" s="32">
        <f t="shared" si="5"/>
        <v>32348.76</v>
      </c>
      <c r="H15" s="33">
        <f>SUM(E15:G15)</f>
        <v>97046.28</v>
      </c>
    </row>
    <row r="16" spans="1:8" x14ac:dyDescent="0.25">
      <c r="A16" s="98">
        <v>4</v>
      </c>
      <c r="B16" s="99" t="s">
        <v>118</v>
      </c>
      <c r="C16" s="24" t="s">
        <v>106</v>
      </c>
      <c r="D16" s="25" t="s">
        <v>107</v>
      </c>
      <c r="E16" s="34"/>
      <c r="F16" s="34"/>
      <c r="G16" s="34"/>
      <c r="H16" s="27"/>
    </row>
    <row r="17" spans="1:8" x14ac:dyDescent="0.25">
      <c r="A17" s="98"/>
      <c r="B17" s="99"/>
      <c r="C17" s="28">
        <f>C18/C$31</f>
        <v>0.72390956155834962</v>
      </c>
      <c r="D17" s="25" t="s">
        <v>108</v>
      </c>
      <c r="E17" s="29">
        <f>1/3</f>
        <v>0.33333333333333331</v>
      </c>
      <c r="F17" s="29">
        <f t="shared" ref="F17:G17" si="6">1/3</f>
        <v>0.33333333333333331</v>
      </c>
      <c r="G17" s="29">
        <f t="shared" si="6"/>
        <v>0.33333333333333331</v>
      </c>
      <c r="H17" s="30">
        <f>SUM(E17:G17)</f>
        <v>1</v>
      </c>
    </row>
    <row r="18" spans="1:8" x14ac:dyDescent="0.25">
      <c r="A18" s="98"/>
      <c r="B18" s="99"/>
      <c r="C18" s="31">
        <f>PLANILHA!H30</f>
        <v>1980257.1900000002</v>
      </c>
      <c r="D18" s="25" t="s">
        <v>5</v>
      </c>
      <c r="E18" s="33">
        <f>$C18*E17</f>
        <v>660085.73</v>
      </c>
      <c r="F18" s="33">
        <f>$C18*F17</f>
        <v>660085.73</v>
      </c>
      <c r="G18" s="33">
        <f>$C18*G17</f>
        <v>660085.73</v>
      </c>
      <c r="H18" s="33">
        <f>SUM(E18:G18)</f>
        <v>1980257.19</v>
      </c>
    </row>
    <row r="19" spans="1:8" x14ac:dyDescent="0.25">
      <c r="A19" s="98">
        <v>5</v>
      </c>
      <c r="B19" s="99" t="s">
        <v>87</v>
      </c>
      <c r="C19" s="24" t="s">
        <v>106</v>
      </c>
      <c r="D19" s="25" t="s">
        <v>107</v>
      </c>
      <c r="E19" s="34"/>
      <c r="F19" s="34"/>
      <c r="G19" s="34"/>
      <c r="H19" s="27"/>
    </row>
    <row r="20" spans="1:8" x14ac:dyDescent="0.25">
      <c r="A20" s="98"/>
      <c r="B20" s="99"/>
      <c r="C20" s="28">
        <f>C21/C$31</f>
        <v>5.0983296651299928E-2</v>
      </c>
      <c r="D20" s="25" t="s">
        <v>108</v>
      </c>
      <c r="E20" s="29">
        <f>1/3</f>
        <v>0.33333333333333331</v>
      </c>
      <c r="F20" s="29">
        <f t="shared" ref="F20:G20" si="7">1/3</f>
        <v>0.33333333333333331</v>
      </c>
      <c r="G20" s="29">
        <f t="shared" si="7"/>
        <v>0.33333333333333331</v>
      </c>
      <c r="H20" s="30">
        <f>SUM(E20:G20)</f>
        <v>1</v>
      </c>
    </row>
    <row r="21" spans="1:8" x14ac:dyDescent="0.25">
      <c r="A21" s="98"/>
      <c r="B21" s="99"/>
      <c r="C21" s="31">
        <f>PLANILHA!H37</f>
        <v>139464.99</v>
      </c>
      <c r="D21" s="25" t="s">
        <v>5</v>
      </c>
      <c r="E21" s="33">
        <f>$C21*E20</f>
        <v>46488.329999999994</v>
      </c>
      <c r="F21" s="33">
        <f>$C21*F20</f>
        <v>46488.329999999994</v>
      </c>
      <c r="G21" s="33">
        <f>$C21*G20</f>
        <v>46488.329999999994</v>
      </c>
      <c r="H21" s="33">
        <f>SUM(E21:G21)</f>
        <v>139464.99</v>
      </c>
    </row>
    <row r="22" spans="1:8" x14ac:dyDescent="0.25">
      <c r="A22" s="98">
        <v>6</v>
      </c>
      <c r="B22" s="99" t="s">
        <v>63</v>
      </c>
      <c r="C22" s="24" t="s">
        <v>106</v>
      </c>
      <c r="D22" s="25" t="s">
        <v>107</v>
      </c>
      <c r="E22" s="34"/>
      <c r="F22" s="34"/>
      <c r="G22" s="34"/>
      <c r="H22" s="27"/>
    </row>
    <row r="23" spans="1:8" x14ac:dyDescent="0.25">
      <c r="A23" s="98"/>
      <c r="B23" s="99"/>
      <c r="C23" s="28">
        <f>C24/C$31</f>
        <v>2.69467241090093E-2</v>
      </c>
      <c r="D23" s="25" t="s">
        <v>108</v>
      </c>
      <c r="E23" s="29">
        <f>1/3</f>
        <v>0.33333333333333331</v>
      </c>
      <c r="F23" s="29">
        <f t="shared" ref="F23:G23" si="8">1/3</f>
        <v>0.33333333333333331</v>
      </c>
      <c r="G23" s="29">
        <f t="shared" si="8"/>
        <v>0.33333333333333331</v>
      </c>
      <c r="H23" s="30">
        <f>SUM(E23:G23)</f>
        <v>1</v>
      </c>
    </row>
    <row r="24" spans="1:8" x14ac:dyDescent="0.25">
      <c r="A24" s="98"/>
      <c r="B24" s="99"/>
      <c r="C24" s="31">
        <f>PLANILHA!H42</f>
        <v>73712.86</v>
      </c>
      <c r="D24" s="25" t="s">
        <v>5</v>
      </c>
      <c r="E24" s="32">
        <f>$C24*E23</f>
        <v>24570.953333333331</v>
      </c>
      <c r="F24" s="32">
        <f>$C24*F23</f>
        <v>24570.953333333331</v>
      </c>
      <c r="G24" s="32">
        <f>$C24*G23</f>
        <v>24570.953333333331</v>
      </c>
      <c r="H24" s="33">
        <f>SUM(E24:G24)</f>
        <v>73712.859999999986</v>
      </c>
    </row>
    <row r="25" spans="1:8" x14ac:dyDescent="0.25">
      <c r="A25" s="98">
        <v>7</v>
      </c>
      <c r="B25" s="99" t="s">
        <v>115</v>
      </c>
      <c r="C25" s="24" t="s">
        <v>106</v>
      </c>
      <c r="D25" s="25" t="s">
        <v>107</v>
      </c>
      <c r="E25" s="34"/>
      <c r="F25" s="34"/>
      <c r="G25" s="34"/>
      <c r="H25" s="27"/>
    </row>
    <row r="26" spans="1:8" x14ac:dyDescent="0.25">
      <c r="A26" s="98"/>
      <c r="B26" s="99"/>
      <c r="C26" s="28">
        <f>C27/C$31</f>
        <v>7.4212909910404537E-2</v>
      </c>
      <c r="D26" s="25" t="s">
        <v>108</v>
      </c>
      <c r="E26" s="29">
        <f>1/3</f>
        <v>0.33333333333333331</v>
      </c>
      <c r="F26" s="29">
        <f t="shared" ref="F26:G26" si="9">1/3</f>
        <v>0.33333333333333331</v>
      </c>
      <c r="G26" s="29">
        <f t="shared" si="9"/>
        <v>0.33333333333333331</v>
      </c>
      <c r="H26" s="30">
        <f>SUM(E26:G26)</f>
        <v>1</v>
      </c>
    </row>
    <row r="27" spans="1:8" x14ac:dyDescent="0.25">
      <c r="A27" s="98"/>
      <c r="B27" s="99"/>
      <c r="C27" s="31">
        <f>PLANILHA!H51</f>
        <v>203009.68</v>
      </c>
      <c r="D27" s="25" t="s">
        <v>5</v>
      </c>
      <c r="E27" s="33">
        <f>$C27*E26</f>
        <v>67669.893333333326</v>
      </c>
      <c r="F27" s="33">
        <f>$C27*F26</f>
        <v>67669.893333333326</v>
      </c>
      <c r="G27" s="33">
        <f>$C27*G26</f>
        <v>67669.893333333326</v>
      </c>
      <c r="H27" s="33">
        <f>SUM(E27:G27)</f>
        <v>203009.68</v>
      </c>
    </row>
    <row r="28" spans="1:8" x14ac:dyDescent="0.25">
      <c r="A28" s="98">
        <v>8</v>
      </c>
      <c r="B28" s="99" t="s">
        <v>26</v>
      </c>
      <c r="C28" s="24" t="s">
        <v>106</v>
      </c>
      <c r="D28" s="25" t="s">
        <v>107</v>
      </c>
      <c r="E28" s="26"/>
      <c r="F28" s="26"/>
      <c r="G28" s="26"/>
      <c r="H28" s="27"/>
    </row>
    <row r="29" spans="1:8" x14ac:dyDescent="0.25">
      <c r="A29" s="98"/>
      <c r="B29" s="99"/>
      <c r="C29" s="28">
        <f>C30/C$31</f>
        <v>2.7681630845029391E-3</v>
      </c>
      <c r="D29" s="25" t="s">
        <v>108</v>
      </c>
      <c r="E29" s="29">
        <f>1/3</f>
        <v>0.33333333333333331</v>
      </c>
      <c r="F29" s="29">
        <f t="shared" ref="F29:G29" si="10">1/3</f>
        <v>0.33333333333333331</v>
      </c>
      <c r="G29" s="29">
        <f t="shared" si="10"/>
        <v>0.33333333333333331</v>
      </c>
      <c r="H29" s="30">
        <f>SUM(E29:G29)</f>
        <v>1</v>
      </c>
    </row>
    <row r="30" spans="1:8" x14ac:dyDescent="0.25">
      <c r="A30" s="98"/>
      <c r="B30" s="99"/>
      <c r="C30" s="31">
        <f>PLANILHA!H54</f>
        <v>7572.3200000000006</v>
      </c>
      <c r="D30" s="25" t="s">
        <v>5</v>
      </c>
      <c r="E30" s="32">
        <f>$C30*E29</f>
        <v>2524.1066666666666</v>
      </c>
      <c r="F30" s="32">
        <f t="shared" ref="F30:G30" si="11">$C30*F29</f>
        <v>2524.1066666666666</v>
      </c>
      <c r="G30" s="32">
        <f t="shared" si="11"/>
        <v>2524.1066666666666</v>
      </c>
      <c r="H30" s="33">
        <f>SUM(E30:G30)</f>
        <v>7572.32</v>
      </c>
    </row>
    <row r="31" spans="1:8" x14ac:dyDescent="0.25">
      <c r="A31" s="104" t="s">
        <v>109</v>
      </c>
      <c r="B31" s="104"/>
      <c r="C31" s="105">
        <f>C9+C12+C15+C18+C21+C24+C27+C30</f>
        <v>2735503.57</v>
      </c>
      <c r="D31" s="105"/>
      <c r="E31" s="35">
        <f>E9+E12+E15+E18+E21+E24+E27+E30</f>
        <v>911834.52333333332</v>
      </c>
      <c r="F31" s="35">
        <f>F9+F12+F15+F18+F21+F24+F27+F30</f>
        <v>911834.52333333332</v>
      </c>
      <c r="G31" s="35">
        <f>G9+G12+G15+G18+G21+G24+G27+G30</f>
        <v>911834.52333333332</v>
      </c>
      <c r="H31" s="35">
        <f>H9+H12+H15+H18+H21+H24+H27+H30</f>
        <v>2735503.57</v>
      </c>
    </row>
    <row r="32" spans="1:8" x14ac:dyDescent="0.25">
      <c r="A32" s="100" t="s">
        <v>110</v>
      </c>
      <c r="B32" s="100"/>
      <c r="C32" s="100"/>
      <c r="D32" s="100"/>
      <c r="E32" s="36">
        <f t="shared" ref="E32:G32" si="12">E31/$C31</f>
        <v>0.33333333333333337</v>
      </c>
      <c r="F32" s="36">
        <f t="shared" si="12"/>
        <v>0.33333333333333337</v>
      </c>
      <c r="G32" s="36">
        <f t="shared" si="12"/>
        <v>0.33333333333333337</v>
      </c>
      <c r="H32" s="36">
        <f>SUM(E32:G32)</f>
        <v>1</v>
      </c>
    </row>
    <row r="33" spans="1:8" x14ac:dyDescent="0.25">
      <c r="A33" s="100" t="s">
        <v>111</v>
      </c>
      <c r="B33" s="100"/>
      <c r="C33" s="100"/>
      <c r="D33" s="100"/>
      <c r="E33" s="33">
        <f>E31</f>
        <v>911834.52333333332</v>
      </c>
      <c r="F33" s="33">
        <f t="shared" ref="F33:G33" si="13">F31</f>
        <v>911834.52333333332</v>
      </c>
      <c r="G33" s="33">
        <f t="shared" si="13"/>
        <v>911834.52333333332</v>
      </c>
      <c r="H33" s="33">
        <f>SUM(E33:G33)</f>
        <v>2735503.57</v>
      </c>
    </row>
    <row r="34" spans="1:8" x14ac:dyDescent="0.25">
      <c r="A34" s="100" t="s">
        <v>112</v>
      </c>
      <c r="B34" s="100"/>
      <c r="C34" s="100"/>
      <c r="D34" s="100"/>
      <c r="E34" s="33">
        <f>E33</f>
        <v>911834.52333333332</v>
      </c>
      <c r="F34" s="33">
        <f>E34+F33</f>
        <v>1823669.0466666666</v>
      </c>
      <c r="G34" s="33">
        <f t="shared" ref="G34" si="14">F34+G33</f>
        <v>2735503.57</v>
      </c>
      <c r="H34" s="33">
        <f>G34</f>
        <v>2735503.57</v>
      </c>
    </row>
    <row r="35" spans="1:8" x14ac:dyDescent="0.25">
      <c r="A35" s="101" t="s">
        <v>113</v>
      </c>
      <c r="B35" s="101"/>
      <c r="C35" s="101"/>
      <c r="D35" s="101"/>
      <c r="E35" s="37">
        <f>E32</f>
        <v>0.33333333333333337</v>
      </c>
      <c r="F35" s="37">
        <f>E35+F32</f>
        <v>0.66666666666666674</v>
      </c>
      <c r="G35" s="37">
        <f t="shared" ref="G35" si="15">F35+G32</f>
        <v>1</v>
      </c>
      <c r="H35" s="37">
        <f>G35</f>
        <v>1</v>
      </c>
    </row>
    <row r="37" spans="1:8" x14ac:dyDescent="0.25">
      <c r="E37" s="38"/>
      <c r="F37" s="38"/>
      <c r="G37" s="38"/>
    </row>
  </sheetData>
  <mergeCells count="28">
    <mergeCell ref="A34:D34"/>
    <mergeCell ref="A35:D35"/>
    <mergeCell ref="G5:H5"/>
    <mergeCell ref="A5:F5"/>
    <mergeCell ref="A31:B31"/>
    <mergeCell ref="C31:D31"/>
    <mergeCell ref="A32:D32"/>
    <mergeCell ref="A33:D33"/>
    <mergeCell ref="A25:A27"/>
    <mergeCell ref="B25:B27"/>
    <mergeCell ref="A28:A30"/>
    <mergeCell ref="B28:B30"/>
    <mergeCell ref="A16:A18"/>
    <mergeCell ref="B16:B18"/>
    <mergeCell ref="A19:A21"/>
    <mergeCell ref="B19:B21"/>
    <mergeCell ref="A1:H1"/>
    <mergeCell ref="A2:H2"/>
    <mergeCell ref="A3:H3"/>
    <mergeCell ref="A4:H4"/>
    <mergeCell ref="A22:A24"/>
    <mergeCell ref="B22:B24"/>
    <mergeCell ref="A7:A9"/>
    <mergeCell ref="B7:B9"/>
    <mergeCell ref="A10:A12"/>
    <mergeCell ref="B10:B12"/>
    <mergeCell ref="A13:A15"/>
    <mergeCell ref="B13:B15"/>
  </mergeCells>
  <printOptions horizontalCentered="1"/>
  <pageMargins left="0.47244094488188981" right="0.47244094488188981" top="0.59055118110236227" bottom="0.39370078740157483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</dc:creator>
  <cp:lastPrinted>2024-01-22T14:35:28Z</cp:lastPrinted>
  <dcterms:created xsi:type="dcterms:W3CDTF">2024-01-05T18:50:18Z</dcterms:created>
  <dcterms:modified xsi:type="dcterms:W3CDTF">2024-01-22T14:35:42Z</dcterms:modified>
</cp:coreProperties>
</file>