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\1. PASTA\WNova pasta7\Mapro Vestiário Funcionários\"/>
    </mc:Choice>
  </mc:AlternateContent>
  <bookViews>
    <workbookView xWindow="0" yWindow="0" windowWidth="16380" windowHeight="8190" tabRatio="500"/>
  </bookViews>
  <sheets>
    <sheet name="PLANILHA" sheetId="1" r:id="rId1"/>
    <sheet name="CRONOGRAMA" sheetId="3" r:id="rId2"/>
  </sheets>
  <definedNames>
    <definedName name="_FilterDatabase_0" localSheetId="0">PLANILHA!$A$17:$H$484</definedName>
    <definedName name="_FilterDatabase_0_0" localSheetId="0">PLANILHA!$A$7:$J$484</definedName>
    <definedName name="_xlnm._FilterDatabase" localSheetId="0" hidden="1">PLANILHA!$A$7:$AMI$485</definedName>
    <definedName name="_xlnm.Print_Area" localSheetId="1">CRONOGRAMA!$A$1:$U$52</definedName>
    <definedName name="_xlnm.Print_Area" localSheetId="0">PLANILHA!$A$1:$H$485</definedName>
    <definedName name="BuiltIn_Print_Area">#REF!</definedName>
    <definedName name="Excel_BuiltIn_Print_Area_1_1">#REF!</definedName>
    <definedName name="Excel_BuiltIn_Print_Area_1_1_1_1_1_1">#REF!</definedName>
    <definedName name="Excel_BuiltIn_Print_Area_3">#REF!</definedName>
    <definedName name="Excel_BuiltIn_Print_Area_3_1">#REF!</definedName>
    <definedName name="Excel_BuiltIn_Print_Area_3_1_1_1">#REF!</definedName>
    <definedName name="Excel_BuiltIn_Print_Area_4">#REF!</definedName>
    <definedName name="Excel_BuiltIn_Print_Area_4_1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7">#REF!</definedName>
    <definedName name="Excel_BuiltIn_Print_Titles_1_1_1">#REF!</definedName>
    <definedName name="Excel_BuiltIn_Print_Titles_1_1_1_1">#REF!</definedName>
    <definedName name="Excel_BuiltIn_Print_Titles_1_1_1_1_1">#REF!</definedName>
    <definedName name="Excel_BuiltIn_Print_Titles_3_1">#REF!</definedName>
    <definedName name="Excel_BuiltIn_Print_Titles_5">#REF!</definedName>
    <definedName name="Excel_BuiltIn_Print_Titles_7">#REF!</definedName>
    <definedName name="_xlnm.Print_Titles" localSheetId="0">PLANILHA!$5:$7</definedName>
    <definedName name="xxx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1" l="1"/>
  <c r="E396" i="1" l="1"/>
  <c r="E320" i="1"/>
  <c r="E269" i="1"/>
  <c r="E87" i="1"/>
  <c r="E86" i="1"/>
  <c r="E85" i="1"/>
  <c r="E84" i="1"/>
  <c r="E73" i="1"/>
  <c r="E72" i="1"/>
  <c r="E67" i="1"/>
  <c r="E62" i="1"/>
  <c r="E55" i="1"/>
  <c r="E54" i="1"/>
  <c r="E23" i="1"/>
  <c r="E25" i="1" s="1"/>
  <c r="E20" i="1"/>
  <c r="E21" i="1"/>
  <c r="E22" i="1" s="1"/>
  <c r="E24" i="1" s="1"/>
  <c r="E19" i="1"/>
  <c r="E10" i="1"/>
  <c r="G462" i="1"/>
  <c r="G463" i="1"/>
  <c r="H463" i="1" s="1"/>
  <c r="G464" i="1"/>
  <c r="G465" i="1"/>
  <c r="G466" i="1"/>
  <c r="G467" i="1"/>
  <c r="G468" i="1"/>
  <c r="H468" i="1" s="1"/>
  <c r="G469" i="1"/>
  <c r="G470" i="1"/>
  <c r="G471" i="1"/>
  <c r="G472" i="1"/>
  <c r="G473" i="1"/>
  <c r="G474" i="1"/>
  <c r="G475" i="1"/>
  <c r="G476" i="1"/>
  <c r="G477" i="1"/>
  <c r="G478" i="1"/>
  <c r="G479" i="1"/>
  <c r="G480" i="1"/>
  <c r="H480" i="1" s="1"/>
  <c r="G481" i="1"/>
  <c r="H481" i="1" s="1"/>
  <c r="G482" i="1"/>
  <c r="H482" i="1" s="1"/>
  <c r="G483" i="1"/>
  <c r="H483" i="1" s="1"/>
  <c r="G484" i="1"/>
  <c r="H484" i="1" s="1"/>
  <c r="G485" i="1"/>
  <c r="G461" i="1"/>
  <c r="G436" i="1"/>
  <c r="G437" i="1"/>
  <c r="G438" i="1"/>
  <c r="G439" i="1"/>
  <c r="G440" i="1"/>
  <c r="G441" i="1"/>
  <c r="G442" i="1"/>
  <c r="H442" i="1" s="1"/>
  <c r="G443" i="1"/>
  <c r="G444" i="1"/>
  <c r="G445" i="1"/>
  <c r="G446" i="1"/>
  <c r="G447" i="1"/>
  <c r="G448" i="1"/>
  <c r="G449" i="1"/>
  <c r="G450" i="1"/>
  <c r="G451" i="1"/>
  <c r="G452" i="1"/>
  <c r="G453" i="1"/>
  <c r="G454" i="1"/>
  <c r="H454" i="1" s="1"/>
  <c r="G455" i="1"/>
  <c r="H455" i="1" s="1"/>
  <c r="G456" i="1"/>
  <c r="H456" i="1" s="1"/>
  <c r="G457" i="1"/>
  <c r="H457" i="1" s="1"/>
  <c r="G458" i="1"/>
  <c r="H458" i="1" s="1"/>
  <c r="G459" i="1"/>
  <c r="G435" i="1"/>
  <c r="G385" i="1"/>
  <c r="G386" i="1"/>
  <c r="H386" i="1" s="1"/>
  <c r="G387" i="1"/>
  <c r="H387" i="1" s="1"/>
  <c r="G388" i="1"/>
  <c r="G390" i="1"/>
  <c r="H390" i="1" s="1"/>
  <c r="G391" i="1"/>
  <c r="G392" i="1"/>
  <c r="G393" i="1"/>
  <c r="G394" i="1"/>
  <c r="H394" i="1" s="1"/>
  <c r="G395" i="1"/>
  <c r="G396" i="1"/>
  <c r="G397" i="1"/>
  <c r="G398" i="1"/>
  <c r="H398" i="1" s="1"/>
  <c r="G399" i="1"/>
  <c r="G400" i="1"/>
  <c r="G401" i="1"/>
  <c r="G402" i="1"/>
  <c r="G403" i="1"/>
  <c r="H403" i="1" s="1"/>
  <c r="G404" i="1"/>
  <c r="G405" i="1"/>
  <c r="G406" i="1"/>
  <c r="G407" i="1"/>
  <c r="H407" i="1" s="1"/>
  <c r="G408" i="1"/>
  <c r="H408" i="1" s="1"/>
  <c r="G409" i="1"/>
  <c r="G410" i="1"/>
  <c r="G411" i="1"/>
  <c r="G412" i="1"/>
  <c r="G413" i="1"/>
  <c r="G414" i="1"/>
  <c r="G415" i="1"/>
  <c r="G416" i="1"/>
  <c r="G417" i="1"/>
  <c r="G418" i="1"/>
  <c r="G419" i="1"/>
  <c r="H419" i="1" s="1"/>
  <c r="G420" i="1"/>
  <c r="G421" i="1"/>
  <c r="G422" i="1"/>
  <c r="G423" i="1"/>
  <c r="H423" i="1" s="1"/>
  <c r="G424" i="1"/>
  <c r="H424" i="1" s="1"/>
  <c r="G425" i="1"/>
  <c r="G426" i="1"/>
  <c r="H426" i="1" s="1"/>
  <c r="G427" i="1"/>
  <c r="G428" i="1"/>
  <c r="H428" i="1" s="1"/>
  <c r="G429" i="1"/>
  <c r="H429" i="1" s="1"/>
  <c r="G431" i="1"/>
  <c r="H431" i="1" s="1"/>
  <c r="G432" i="1"/>
  <c r="H432" i="1" s="1"/>
  <c r="G433" i="1"/>
  <c r="G384" i="1"/>
  <c r="G359" i="1"/>
  <c r="G360" i="1"/>
  <c r="H360" i="1" s="1"/>
  <c r="G361" i="1"/>
  <c r="G362" i="1"/>
  <c r="G363" i="1"/>
  <c r="G364" i="1"/>
  <c r="G365" i="1"/>
  <c r="H365" i="1" s="1"/>
  <c r="G366" i="1"/>
  <c r="G367" i="1"/>
  <c r="G368" i="1"/>
  <c r="G369" i="1"/>
  <c r="G370" i="1"/>
  <c r="G371" i="1"/>
  <c r="G372" i="1"/>
  <c r="G373" i="1"/>
  <c r="G374" i="1"/>
  <c r="G375" i="1"/>
  <c r="G376" i="1"/>
  <c r="G377" i="1"/>
  <c r="H377" i="1" s="1"/>
  <c r="G378" i="1"/>
  <c r="G379" i="1"/>
  <c r="H379" i="1" s="1"/>
  <c r="G380" i="1"/>
  <c r="H380" i="1" s="1"/>
  <c r="G381" i="1"/>
  <c r="H381" i="1" s="1"/>
  <c r="G382" i="1"/>
  <c r="G358" i="1"/>
  <c r="G307" i="1"/>
  <c r="G308" i="1"/>
  <c r="H308" i="1" s="1"/>
  <c r="G309" i="1"/>
  <c r="H309" i="1" s="1"/>
  <c r="G310" i="1"/>
  <c r="H310" i="1" s="1"/>
  <c r="G311" i="1"/>
  <c r="H311" i="1" s="1"/>
  <c r="G312" i="1"/>
  <c r="H312" i="1" s="1"/>
  <c r="G313" i="1"/>
  <c r="H313" i="1" s="1"/>
  <c r="G314" i="1"/>
  <c r="G316" i="1"/>
  <c r="H316" i="1" s="1"/>
  <c r="G317" i="1"/>
  <c r="H317" i="1" s="1"/>
  <c r="G318" i="1"/>
  <c r="H318" i="1" s="1"/>
  <c r="G319" i="1"/>
  <c r="H319" i="1" s="1"/>
  <c r="G320" i="1"/>
  <c r="G321" i="1"/>
  <c r="G322" i="1"/>
  <c r="H322" i="1" s="1"/>
  <c r="G323" i="1"/>
  <c r="G324" i="1"/>
  <c r="G325" i="1"/>
  <c r="G326" i="1"/>
  <c r="G327" i="1"/>
  <c r="G328" i="1"/>
  <c r="H328" i="1" s="1"/>
  <c r="G329" i="1"/>
  <c r="G330" i="1"/>
  <c r="G331" i="1"/>
  <c r="G332" i="1"/>
  <c r="G333" i="1"/>
  <c r="G334" i="1"/>
  <c r="G335" i="1"/>
  <c r="G336" i="1"/>
  <c r="G337" i="1"/>
  <c r="G338" i="1"/>
  <c r="G339" i="1"/>
  <c r="H339" i="1" s="1"/>
  <c r="G340" i="1"/>
  <c r="H340" i="1" s="1"/>
  <c r="G341" i="1"/>
  <c r="H341" i="1" s="1"/>
  <c r="G342" i="1"/>
  <c r="H342" i="1" s="1"/>
  <c r="G343" i="1"/>
  <c r="G344" i="1"/>
  <c r="G345" i="1"/>
  <c r="G346" i="1"/>
  <c r="H346" i="1" s="1"/>
  <c r="G347" i="1"/>
  <c r="H347" i="1" s="1"/>
  <c r="G348" i="1"/>
  <c r="G349" i="1"/>
  <c r="H349" i="1" s="1"/>
  <c r="G350" i="1"/>
  <c r="G351" i="1"/>
  <c r="H351" i="1" s="1"/>
  <c r="G352" i="1"/>
  <c r="H352" i="1" s="1"/>
  <c r="G354" i="1"/>
  <c r="H354" i="1" s="1"/>
  <c r="G355" i="1"/>
  <c r="H355" i="1" s="1"/>
  <c r="G356" i="1"/>
  <c r="G306" i="1"/>
  <c r="G270" i="1"/>
  <c r="G271" i="1"/>
  <c r="H271" i="1" s="1"/>
  <c r="G272" i="1"/>
  <c r="H272" i="1" s="1"/>
  <c r="G273" i="1"/>
  <c r="G274" i="1"/>
  <c r="H274" i="1" s="1"/>
  <c r="G275" i="1"/>
  <c r="H275" i="1" s="1"/>
  <c r="G276" i="1"/>
  <c r="H276" i="1" s="1"/>
  <c r="G277" i="1"/>
  <c r="G278" i="1"/>
  <c r="G279" i="1"/>
  <c r="G280" i="1"/>
  <c r="G281" i="1"/>
  <c r="H281" i="1" s="1"/>
  <c r="G282" i="1"/>
  <c r="G283" i="1"/>
  <c r="G284" i="1"/>
  <c r="G285" i="1"/>
  <c r="G286" i="1"/>
  <c r="G287" i="1"/>
  <c r="G288" i="1"/>
  <c r="G289" i="1"/>
  <c r="G290" i="1"/>
  <c r="G291" i="1"/>
  <c r="G292" i="1"/>
  <c r="G293" i="1"/>
  <c r="H293" i="1" s="1"/>
  <c r="G294" i="1"/>
  <c r="G295" i="1"/>
  <c r="G296" i="1"/>
  <c r="G297" i="1"/>
  <c r="G298" i="1"/>
  <c r="H298" i="1" s="1"/>
  <c r="G299" i="1"/>
  <c r="G300" i="1"/>
  <c r="H300" i="1" s="1"/>
  <c r="G301" i="1"/>
  <c r="H301" i="1" s="1"/>
  <c r="G302" i="1"/>
  <c r="G303" i="1"/>
  <c r="H303" i="1" s="1"/>
  <c r="G304" i="1"/>
  <c r="G269" i="1"/>
  <c r="G236" i="1"/>
  <c r="G237" i="1"/>
  <c r="H237" i="1" s="1"/>
  <c r="G238" i="1"/>
  <c r="H238" i="1" s="1"/>
  <c r="G239" i="1"/>
  <c r="H239" i="1" s="1"/>
  <c r="G240" i="1"/>
  <c r="G241" i="1"/>
  <c r="G242" i="1"/>
  <c r="G243" i="1"/>
  <c r="G244" i="1"/>
  <c r="G245" i="1"/>
  <c r="G246" i="1"/>
  <c r="H246" i="1" s="1"/>
  <c r="G247" i="1"/>
  <c r="G248" i="1"/>
  <c r="G249" i="1"/>
  <c r="G250" i="1"/>
  <c r="G251" i="1"/>
  <c r="G252" i="1"/>
  <c r="G253" i="1"/>
  <c r="G254" i="1"/>
  <c r="G255" i="1"/>
  <c r="G256" i="1"/>
  <c r="G257" i="1"/>
  <c r="G258" i="1"/>
  <c r="H258" i="1" s="1"/>
  <c r="G259" i="1"/>
  <c r="H259" i="1" s="1"/>
  <c r="G260" i="1"/>
  <c r="G261" i="1"/>
  <c r="H261" i="1" s="1"/>
  <c r="G262" i="1"/>
  <c r="G263" i="1"/>
  <c r="H263" i="1" s="1"/>
  <c r="G264" i="1"/>
  <c r="H264" i="1" s="1"/>
  <c r="G265" i="1"/>
  <c r="G266" i="1"/>
  <c r="H266" i="1" s="1"/>
  <c r="G267" i="1"/>
  <c r="G235" i="1"/>
  <c r="G207" i="1"/>
  <c r="H207" i="1" s="1"/>
  <c r="G211" i="1"/>
  <c r="H211" i="1" s="1"/>
  <c r="G212" i="1"/>
  <c r="H212" i="1" s="1"/>
  <c r="G213" i="1"/>
  <c r="H213" i="1" s="1"/>
  <c r="G214" i="1"/>
  <c r="H214" i="1" s="1"/>
  <c r="G215" i="1"/>
  <c r="H215" i="1" s="1"/>
  <c r="G216" i="1"/>
  <c r="H216" i="1" s="1"/>
  <c r="G217" i="1"/>
  <c r="H217" i="1" s="1"/>
  <c r="G218" i="1"/>
  <c r="H218" i="1" s="1"/>
  <c r="G219" i="1"/>
  <c r="H219" i="1" s="1"/>
  <c r="G220" i="1"/>
  <c r="H220" i="1" s="1"/>
  <c r="G221" i="1"/>
  <c r="H221" i="1" s="1"/>
  <c r="G224" i="1"/>
  <c r="H224" i="1" s="1"/>
  <c r="G225" i="1"/>
  <c r="H225" i="1" s="1"/>
  <c r="G226" i="1"/>
  <c r="H226" i="1" s="1"/>
  <c r="G227" i="1"/>
  <c r="H227" i="1" s="1"/>
  <c r="G228" i="1"/>
  <c r="H228" i="1" s="1"/>
  <c r="G229" i="1"/>
  <c r="H229" i="1" s="1"/>
  <c r="G230" i="1"/>
  <c r="H230" i="1" s="1"/>
  <c r="G231" i="1"/>
  <c r="H231" i="1" s="1"/>
  <c r="G232" i="1"/>
  <c r="H232" i="1" s="1"/>
  <c r="G206" i="1"/>
  <c r="H206" i="1" s="1"/>
  <c r="G204" i="1"/>
  <c r="H204" i="1" s="1"/>
  <c r="G203" i="1"/>
  <c r="H203" i="1" s="1"/>
  <c r="G201" i="1"/>
  <c r="H201" i="1" s="1"/>
  <c r="G200" i="1"/>
  <c r="H200" i="1" s="1"/>
  <c r="G197" i="1"/>
  <c r="H197" i="1" s="1"/>
  <c r="G196" i="1"/>
  <c r="H196" i="1" s="1"/>
  <c r="G191" i="1"/>
  <c r="H191" i="1" s="1"/>
  <c r="G192" i="1"/>
  <c r="H192" i="1" s="1"/>
  <c r="G193" i="1"/>
  <c r="H193" i="1" s="1"/>
  <c r="G194" i="1"/>
  <c r="H194" i="1" s="1"/>
  <c r="G190" i="1"/>
  <c r="H190" i="1" s="1"/>
  <c r="G184" i="1"/>
  <c r="H184" i="1" s="1"/>
  <c r="G185" i="1"/>
  <c r="H185" i="1" s="1"/>
  <c r="G186" i="1"/>
  <c r="H186" i="1" s="1"/>
  <c r="G187" i="1"/>
  <c r="H187" i="1" s="1"/>
  <c r="G188" i="1"/>
  <c r="H188" i="1" s="1"/>
  <c r="G183" i="1"/>
  <c r="H183" i="1" s="1"/>
  <c r="G172" i="1"/>
  <c r="H172" i="1" s="1"/>
  <c r="G173" i="1"/>
  <c r="H173" i="1" s="1"/>
  <c r="G174" i="1"/>
  <c r="H174" i="1" s="1"/>
  <c r="G175" i="1"/>
  <c r="H175" i="1" s="1"/>
  <c r="G176" i="1"/>
  <c r="H176" i="1" s="1"/>
  <c r="G177" i="1"/>
  <c r="H177" i="1" s="1"/>
  <c r="G178" i="1"/>
  <c r="H178" i="1" s="1"/>
  <c r="G179" i="1"/>
  <c r="H179" i="1" s="1"/>
  <c r="G180" i="1"/>
  <c r="H180" i="1" s="1"/>
  <c r="G181" i="1"/>
  <c r="H181" i="1" s="1"/>
  <c r="G171" i="1"/>
  <c r="H171" i="1" s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 s="1"/>
  <c r="G168" i="1"/>
  <c r="H168" i="1" s="1"/>
  <c r="G160" i="1"/>
  <c r="H160" i="1" s="1"/>
  <c r="G154" i="1"/>
  <c r="H154" i="1" s="1"/>
  <c r="G155" i="1"/>
  <c r="H155" i="1" s="1"/>
  <c r="G157" i="1"/>
  <c r="H157" i="1" s="1"/>
  <c r="G158" i="1"/>
  <c r="H158" i="1" s="1"/>
  <c r="G153" i="1"/>
  <c r="H153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H150" i="1" s="1"/>
  <c r="G151" i="1"/>
  <c r="H151" i="1" s="1"/>
  <c r="G140" i="1"/>
  <c r="H140" i="1" s="1"/>
  <c r="G136" i="1"/>
  <c r="H136" i="1" s="1"/>
  <c r="G137" i="1"/>
  <c r="H137" i="1" s="1"/>
  <c r="G135" i="1"/>
  <c r="H135" i="1" s="1"/>
  <c r="G129" i="1"/>
  <c r="H129" i="1" s="1"/>
  <c r="G130" i="1"/>
  <c r="H130" i="1" s="1"/>
  <c r="G132" i="1"/>
  <c r="G128" i="1"/>
  <c r="H128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2" i="1"/>
  <c r="H102" i="1" s="1"/>
  <c r="G103" i="1"/>
  <c r="H103" i="1" s="1"/>
  <c r="G104" i="1"/>
  <c r="H104" i="1" s="1"/>
  <c r="G105" i="1"/>
  <c r="H105" i="1" s="1"/>
  <c r="G106" i="1"/>
  <c r="H106" i="1" s="1"/>
  <c r="G107" i="1"/>
  <c r="H107" i="1" s="1"/>
  <c r="G108" i="1"/>
  <c r="H108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5" i="1"/>
  <c r="H125" i="1" s="1"/>
  <c r="G90" i="1"/>
  <c r="H90" i="1" s="1"/>
  <c r="G85" i="1"/>
  <c r="G86" i="1"/>
  <c r="G87" i="1"/>
  <c r="G88" i="1"/>
  <c r="G84" i="1"/>
  <c r="G72" i="1"/>
  <c r="G73" i="1"/>
  <c r="G74" i="1"/>
  <c r="G75" i="1"/>
  <c r="G76" i="1"/>
  <c r="G77" i="1"/>
  <c r="G78" i="1"/>
  <c r="G79" i="1"/>
  <c r="G80" i="1"/>
  <c r="G81" i="1"/>
  <c r="G82" i="1"/>
  <c r="G71" i="1"/>
  <c r="H71" i="1" s="1"/>
  <c r="G68" i="1"/>
  <c r="G69" i="1"/>
  <c r="H69" i="1" s="1"/>
  <c r="G67" i="1"/>
  <c r="G62" i="1"/>
  <c r="G63" i="1"/>
  <c r="G64" i="1"/>
  <c r="G65" i="1"/>
  <c r="G61" i="1"/>
  <c r="G55" i="1"/>
  <c r="G56" i="1"/>
  <c r="G57" i="1"/>
  <c r="G58" i="1"/>
  <c r="G59" i="1"/>
  <c r="G54" i="1"/>
  <c r="G49" i="1"/>
  <c r="H49" i="1" s="1"/>
  <c r="G50" i="1"/>
  <c r="H50" i="1" s="1"/>
  <c r="G51" i="1"/>
  <c r="H51" i="1" s="1"/>
  <c r="G52" i="1"/>
  <c r="H52" i="1" s="1"/>
  <c r="G48" i="1"/>
  <c r="H48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0" i="1"/>
  <c r="H40" i="1" s="1"/>
  <c r="G35" i="1"/>
  <c r="H35" i="1" s="1"/>
  <c r="G36" i="1"/>
  <c r="H36" i="1" s="1"/>
  <c r="G37" i="1"/>
  <c r="H37" i="1" s="1"/>
  <c r="G38" i="1"/>
  <c r="H38" i="1" s="1"/>
  <c r="G34" i="1"/>
  <c r="H34" i="1" s="1"/>
  <c r="G20" i="1"/>
  <c r="G21" i="1"/>
  <c r="G22" i="1"/>
  <c r="G23" i="1"/>
  <c r="G24" i="1"/>
  <c r="G25" i="1"/>
  <c r="G27" i="1"/>
  <c r="H27" i="1" s="1"/>
  <c r="G28" i="1"/>
  <c r="H28" i="1" s="1"/>
  <c r="G29" i="1"/>
  <c r="H29" i="1" s="1"/>
  <c r="G31" i="1"/>
  <c r="H31" i="1" s="1"/>
  <c r="G32" i="1"/>
  <c r="H32" i="1" s="1"/>
  <c r="G19" i="1"/>
  <c r="H19" i="1" s="1"/>
  <c r="G11" i="1"/>
  <c r="G12" i="1"/>
  <c r="G13" i="1"/>
  <c r="H13" i="1" s="1"/>
  <c r="G14" i="1"/>
  <c r="H14" i="1" s="1"/>
  <c r="H21" i="1" l="1"/>
  <c r="H20" i="1"/>
  <c r="O42" i="3"/>
  <c r="Q42" i="3"/>
  <c r="S42" i="3"/>
  <c r="M45" i="3"/>
  <c r="O45" i="3"/>
  <c r="Q45" i="3"/>
  <c r="S45" i="3"/>
  <c r="K45" i="3"/>
  <c r="O39" i="3"/>
  <c r="Q39" i="3"/>
  <c r="S39" i="3"/>
  <c r="O33" i="3"/>
  <c r="Q33" i="3"/>
  <c r="S33" i="3"/>
  <c r="G16" i="1"/>
  <c r="H16" i="1" s="1"/>
  <c r="U39" i="3" l="1"/>
  <c r="U45" i="3"/>
  <c r="U42" i="3"/>
  <c r="U33" i="3"/>
  <c r="U30" i="3"/>
  <c r="U18" i="3"/>
  <c r="U15" i="3"/>
  <c r="U12" i="3"/>
  <c r="U36" i="3" l="1"/>
  <c r="U21" i="3"/>
  <c r="U24" i="3"/>
  <c r="U9" i="3"/>
  <c r="U27" i="3"/>
  <c r="G210" i="1" l="1"/>
  <c r="H210" i="1" s="1"/>
  <c r="G109" i="1"/>
  <c r="H109" i="1" s="1"/>
  <c r="G91" i="1"/>
  <c r="H91" i="1" s="1"/>
  <c r="G126" i="1" l="1"/>
  <c r="H126" i="1" s="1"/>
  <c r="G124" i="1"/>
  <c r="H124" i="1" s="1"/>
  <c r="G123" i="1"/>
  <c r="H123" i="1" s="1"/>
  <c r="G122" i="1"/>
  <c r="H122" i="1" s="1"/>
  <c r="G430" i="1"/>
  <c r="H430" i="1" s="1"/>
  <c r="G389" i="1"/>
  <c r="G353" i="1"/>
  <c r="H353" i="1" s="1"/>
  <c r="G223" i="1"/>
  <c r="H223" i="1" s="1"/>
  <c r="G222" i="1"/>
  <c r="H222" i="1" s="1"/>
  <c r="G209" i="1"/>
  <c r="H209" i="1" s="1"/>
  <c r="G208" i="1"/>
  <c r="H208" i="1" s="1"/>
  <c r="G169" i="1"/>
  <c r="H169" i="1" s="1"/>
  <c r="G156" i="1"/>
  <c r="H156" i="1" s="1"/>
  <c r="G138" i="1"/>
  <c r="H138" i="1" s="1"/>
  <c r="G121" i="1"/>
  <c r="H121" i="1" s="1"/>
  <c r="G26" i="1"/>
  <c r="H26" i="1" s="1"/>
  <c r="G101" i="1" l="1"/>
  <c r="H101" i="1" s="1"/>
  <c r="H195" i="1" l="1"/>
  <c r="E132" i="1"/>
  <c r="H132" i="1" l="1"/>
  <c r="E64" i="1" l="1"/>
  <c r="H64" i="1" s="1"/>
  <c r="H62" i="1"/>
  <c r="E65" i="1"/>
  <c r="H65" i="1" s="1"/>
  <c r="E63" i="1"/>
  <c r="H63" i="1" s="1"/>
  <c r="G315" i="1"/>
  <c r="H15" i="1" l="1"/>
  <c r="C13" i="3" s="1"/>
  <c r="G13" i="3" l="1"/>
  <c r="O13" i="3"/>
  <c r="I13" i="3"/>
  <c r="Q13" i="3"/>
  <c r="M13" i="3"/>
  <c r="K13" i="3"/>
  <c r="S13" i="3"/>
  <c r="E13" i="3"/>
  <c r="U13" i="3" l="1"/>
  <c r="H202" i="1"/>
  <c r="H199" i="1"/>
  <c r="H205" i="1"/>
  <c r="G131" i="1"/>
  <c r="H131" i="1" s="1"/>
  <c r="H127" i="1" l="1"/>
  <c r="C37" i="3" s="1"/>
  <c r="H189" i="1"/>
  <c r="H198" i="1"/>
  <c r="C43" i="3" s="1"/>
  <c r="H134" i="1"/>
  <c r="H139" i="1"/>
  <c r="H159" i="1"/>
  <c r="H170" i="1"/>
  <c r="H152" i="1"/>
  <c r="H182" i="1"/>
  <c r="H25" i="1" l="1"/>
  <c r="H23" i="1"/>
  <c r="G43" i="3"/>
  <c r="K43" i="3"/>
  <c r="E43" i="3"/>
  <c r="M43" i="3"/>
  <c r="I43" i="3"/>
  <c r="Q43" i="3"/>
  <c r="S43" i="3"/>
  <c r="O43" i="3"/>
  <c r="Q37" i="3"/>
  <c r="U37" i="3" s="1"/>
  <c r="H133" i="1"/>
  <c r="C40" i="3" s="1"/>
  <c r="G30" i="1"/>
  <c r="H30" i="1" s="1"/>
  <c r="G40" i="3" l="1"/>
  <c r="E40" i="3"/>
  <c r="M40" i="3"/>
  <c r="I40" i="3"/>
  <c r="K40" i="3"/>
  <c r="U43" i="3"/>
  <c r="Q40" i="3"/>
  <c r="S40" i="3"/>
  <c r="O40" i="3"/>
  <c r="H24" i="1" l="1"/>
  <c r="H22" i="1"/>
  <c r="U40" i="3"/>
  <c r="E471" i="1"/>
  <c r="E469" i="1"/>
  <c r="E467" i="1"/>
  <c r="H467" i="1" s="1"/>
  <c r="E466" i="1"/>
  <c r="H466" i="1" s="1"/>
  <c r="E464" i="1"/>
  <c r="E461" i="1"/>
  <c r="E445" i="1"/>
  <c r="H445" i="1" s="1"/>
  <c r="E443" i="1"/>
  <c r="H443" i="1" s="1"/>
  <c r="E441" i="1"/>
  <c r="H441" i="1" s="1"/>
  <c r="E440" i="1"/>
  <c r="H440" i="1" s="1"/>
  <c r="E438" i="1"/>
  <c r="E437" i="1"/>
  <c r="H437" i="1" s="1"/>
  <c r="E435" i="1"/>
  <c r="H435" i="1" s="1"/>
  <c r="E427" i="1"/>
  <c r="H427" i="1" s="1"/>
  <c r="E425" i="1"/>
  <c r="H425" i="1" s="1"/>
  <c r="E422" i="1"/>
  <c r="H422" i="1" s="1"/>
  <c r="E421" i="1"/>
  <c r="H421" i="1" s="1"/>
  <c r="E420" i="1"/>
  <c r="H420" i="1" s="1"/>
  <c r="E418" i="1"/>
  <c r="H418" i="1" s="1"/>
  <c r="E417" i="1"/>
  <c r="H417" i="1" s="1"/>
  <c r="E409" i="1"/>
  <c r="E406" i="1"/>
  <c r="H406" i="1" s="1"/>
  <c r="E404" i="1"/>
  <c r="E402" i="1"/>
  <c r="H402" i="1" s="1"/>
  <c r="E401" i="1"/>
  <c r="E399" i="1"/>
  <c r="E397" i="1"/>
  <c r="H397" i="1" s="1"/>
  <c r="H396" i="1"/>
  <c r="E395" i="1"/>
  <c r="H395" i="1" s="1"/>
  <c r="E393" i="1"/>
  <c r="E392" i="1"/>
  <c r="H392" i="1" s="1"/>
  <c r="E391" i="1"/>
  <c r="E389" i="1"/>
  <c r="H389" i="1" s="1"/>
  <c r="E388" i="1"/>
  <c r="H388" i="1" s="1"/>
  <c r="E384" i="1"/>
  <c r="E378" i="1"/>
  <c r="H378" i="1" s="1"/>
  <c r="E368" i="1"/>
  <c r="E366" i="1"/>
  <c r="E364" i="1"/>
  <c r="H364" i="1" s="1"/>
  <c r="E363" i="1"/>
  <c r="H363" i="1" s="1"/>
  <c r="E361" i="1"/>
  <c r="E358" i="1"/>
  <c r="E350" i="1"/>
  <c r="H350" i="1" s="1"/>
  <c r="E348" i="1"/>
  <c r="H348" i="1" s="1"/>
  <c r="E345" i="1"/>
  <c r="H345" i="1" s="1"/>
  <c r="E344" i="1"/>
  <c r="H344" i="1" s="1"/>
  <c r="E343" i="1"/>
  <c r="H343" i="1" s="1"/>
  <c r="E331" i="1"/>
  <c r="H331" i="1" s="1"/>
  <c r="E329" i="1"/>
  <c r="E327" i="1"/>
  <c r="H327" i="1" s="1"/>
  <c r="E326" i="1"/>
  <c r="H326" i="1" s="1"/>
  <c r="E324" i="1"/>
  <c r="E323" i="1"/>
  <c r="H323" i="1" s="1"/>
  <c r="E321" i="1"/>
  <c r="H321" i="1" s="1"/>
  <c r="H320" i="1"/>
  <c r="E315" i="1"/>
  <c r="H315" i="1" s="1"/>
  <c r="E314" i="1"/>
  <c r="H314" i="1" s="1"/>
  <c r="E306" i="1"/>
  <c r="H306" i="1" s="1"/>
  <c r="E302" i="1"/>
  <c r="H302" i="1" s="1"/>
  <c r="E299" i="1"/>
  <c r="H299" i="1" s="1"/>
  <c r="E297" i="1"/>
  <c r="H297" i="1" s="1"/>
  <c r="E295" i="1"/>
  <c r="E294" i="1"/>
  <c r="H294" i="1" s="1"/>
  <c r="E284" i="1"/>
  <c r="E282" i="1"/>
  <c r="E280" i="1"/>
  <c r="H280" i="1" s="1"/>
  <c r="E279" i="1"/>
  <c r="H279" i="1" s="1"/>
  <c r="E277" i="1"/>
  <c r="E273" i="1"/>
  <c r="H273" i="1" s="1"/>
  <c r="H269" i="1"/>
  <c r="E265" i="1"/>
  <c r="H265" i="1" s="1"/>
  <c r="E262" i="1"/>
  <c r="H262" i="1" s="1"/>
  <c r="E260" i="1"/>
  <c r="H260" i="1" s="1"/>
  <c r="E247" i="1"/>
  <c r="E245" i="1"/>
  <c r="H245" i="1" s="1"/>
  <c r="E244" i="1"/>
  <c r="E242" i="1"/>
  <c r="H242" i="1" s="1"/>
  <c r="E241" i="1"/>
  <c r="H241" i="1" s="1"/>
  <c r="E240" i="1"/>
  <c r="H240" i="1" s="1"/>
  <c r="E235" i="1"/>
  <c r="H87" i="1"/>
  <c r="H86" i="1"/>
  <c r="H85" i="1"/>
  <c r="E80" i="1"/>
  <c r="H80" i="1" s="1"/>
  <c r="E75" i="1"/>
  <c r="H72" i="1"/>
  <c r="E61" i="1"/>
  <c r="H61" i="1" s="1"/>
  <c r="E59" i="1"/>
  <c r="H59" i="1" s="1"/>
  <c r="E12" i="1"/>
  <c r="H12" i="1" s="1"/>
  <c r="E11" i="1"/>
  <c r="H11" i="1" s="1"/>
  <c r="H10" i="1"/>
  <c r="E250" i="1" l="1"/>
  <c r="H244" i="1"/>
  <c r="E278" i="1"/>
  <c r="H278" i="1" s="1"/>
  <c r="H277" i="1"/>
  <c r="E325" i="1"/>
  <c r="H325" i="1" s="1"/>
  <c r="H324" i="1"/>
  <c r="E433" i="1"/>
  <c r="H433" i="1" s="1"/>
  <c r="H384" i="1"/>
  <c r="E439" i="1"/>
  <c r="H438" i="1"/>
  <c r="E79" i="1"/>
  <c r="H75" i="1"/>
  <c r="E373" i="1"/>
  <c r="E375" i="1" s="1"/>
  <c r="H375" i="1" s="1"/>
  <c r="H358" i="1"/>
  <c r="E362" i="1"/>
  <c r="H362" i="1" s="1"/>
  <c r="H361" i="1"/>
  <c r="E410" i="1"/>
  <c r="H401" i="1"/>
  <c r="E68" i="1"/>
  <c r="H68" i="1" s="1"/>
  <c r="H67" i="1"/>
  <c r="E267" i="1"/>
  <c r="H267" i="1" s="1"/>
  <c r="H235" i="1"/>
  <c r="E465" i="1"/>
  <c r="H465" i="1" s="1"/>
  <c r="H464" i="1"/>
  <c r="E400" i="1"/>
  <c r="H400" i="1" s="1"/>
  <c r="H399" i="1"/>
  <c r="E74" i="1"/>
  <c r="H74" i="1" s="1"/>
  <c r="H73" i="1"/>
  <c r="E296" i="1"/>
  <c r="H296" i="1" s="1"/>
  <c r="H295" i="1"/>
  <c r="E462" i="1"/>
  <c r="H462" i="1" s="1"/>
  <c r="H461" i="1"/>
  <c r="E248" i="1"/>
  <c r="H247" i="1"/>
  <c r="H79" i="1"/>
  <c r="H409" i="1"/>
  <c r="E411" i="1"/>
  <c r="H411" i="1" s="1"/>
  <c r="H410" i="1"/>
  <c r="H393" i="1"/>
  <c r="E252" i="1"/>
  <c r="H252" i="1" s="1"/>
  <c r="H250" i="1"/>
  <c r="E283" i="1"/>
  <c r="H283" i="1" s="1"/>
  <c r="H282" i="1"/>
  <c r="H366" i="1"/>
  <c r="H439" i="1"/>
  <c r="H469" i="1"/>
  <c r="H391" i="1"/>
  <c r="H284" i="1"/>
  <c r="H329" i="1"/>
  <c r="H368" i="1"/>
  <c r="H404" i="1"/>
  <c r="H471" i="1"/>
  <c r="H47" i="1"/>
  <c r="H33" i="1"/>
  <c r="H39" i="1"/>
  <c r="E286" i="1"/>
  <c r="E385" i="1"/>
  <c r="H385" i="1" s="1"/>
  <c r="E236" i="1"/>
  <c r="E254" i="1"/>
  <c r="E367" i="1"/>
  <c r="H367" i="1" s="1"/>
  <c r="E333" i="1"/>
  <c r="E446" i="1"/>
  <c r="E413" i="1"/>
  <c r="E444" i="1"/>
  <c r="H444" i="1" s="1"/>
  <c r="E470" i="1"/>
  <c r="H470" i="1" s="1"/>
  <c r="H84" i="1"/>
  <c r="E243" i="1"/>
  <c r="E335" i="1"/>
  <c r="H335" i="1" s="1"/>
  <c r="E436" i="1"/>
  <c r="H436" i="1" s="1"/>
  <c r="E459" i="1"/>
  <c r="E472" i="1"/>
  <c r="E476" i="1"/>
  <c r="E356" i="1"/>
  <c r="E369" i="1"/>
  <c r="E450" i="1"/>
  <c r="H450" i="1" s="1"/>
  <c r="H55" i="1"/>
  <c r="E382" i="1"/>
  <c r="H382" i="1" s="1"/>
  <c r="E359" i="1"/>
  <c r="H359" i="1" s="1"/>
  <c r="E270" i="1"/>
  <c r="H270" i="1" s="1"/>
  <c r="E304" i="1"/>
  <c r="H304" i="1" s="1"/>
  <c r="E78" i="1"/>
  <c r="H78" i="1" s="1"/>
  <c r="E81" i="1"/>
  <c r="H81" i="1" s="1"/>
  <c r="E76" i="1"/>
  <c r="H76" i="1" s="1"/>
  <c r="E289" i="1"/>
  <c r="H289" i="1" s="1"/>
  <c r="E330" i="1"/>
  <c r="H330" i="1" s="1"/>
  <c r="E485" i="1"/>
  <c r="H485" i="1" s="1"/>
  <c r="E253" i="1"/>
  <c r="H253" i="1" s="1"/>
  <c r="E251" i="1"/>
  <c r="H251" i="1" s="1"/>
  <c r="E412" i="1"/>
  <c r="H412" i="1" s="1"/>
  <c r="E405" i="1"/>
  <c r="H405" i="1" s="1"/>
  <c r="H54" i="1"/>
  <c r="E82" i="1"/>
  <c r="H82" i="1" s="1"/>
  <c r="E336" i="1"/>
  <c r="H336" i="1" s="1"/>
  <c r="E307" i="1"/>
  <c r="H307" i="1" s="1"/>
  <c r="E249" i="1"/>
  <c r="H249" i="1" s="1"/>
  <c r="E451" i="1"/>
  <c r="H451" i="1" s="1"/>
  <c r="E374" i="1" l="1"/>
  <c r="H374" i="1" s="1"/>
  <c r="E376" i="1"/>
  <c r="H376" i="1" s="1"/>
  <c r="H373" i="1"/>
  <c r="H459" i="1"/>
  <c r="H333" i="1"/>
  <c r="E478" i="1"/>
  <c r="H478" i="1" s="1"/>
  <c r="H476" i="1"/>
  <c r="E448" i="1"/>
  <c r="H448" i="1" s="1"/>
  <c r="H446" i="1"/>
  <c r="E285" i="1"/>
  <c r="H286" i="1"/>
  <c r="H254" i="1"/>
  <c r="E415" i="1"/>
  <c r="H413" i="1"/>
  <c r="H369" i="1"/>
  <c r="H236" i="1"/>
  <c r="H356" i="1"/>
  <c r="H472" i="1"/>
  <c r="H243" i="1"/>
  <c r="H248" i="1"/>
  <c r="H9" i="1"/>
  <c r="H89" i="1"/>
  <c r="C34" i="3" s="1"/>
  <c r="H18" i="1"/>
  <c r="H17" i="1" s="1"/>
  <c r="C16" i="3" s="1"/>
  <c r="I16" i="3" s="1"/>
  <c r="E255" i="1"/>
  <c r="H255" i="1" s="1"/>
  <c r="E287" i="1"/>
  <c r="E288" i="1"/>
  <c r="H288" i="1" s="1"/>
  <c r="E447" i="1"/>
  <c r="H447" i="1" s="1"/>
  <c r="E449" i="1"/>
  <c r="E371" i="1"/>
  <c r="E372" i="1"/>
  <c r="H372" i="1" s="1"/>
  <c r="E474" i="1"/>
  <c r="H474" i="1" s="1"/>
  <c r="E473" i="1"/>
  <c r="H473" i="1" s="1"/>
  <c r="E370" i="1"/>
  <c r="E475" i="1"/>
  <c r="E257" i="1"/>
  <c r="H257" i="1" s="1"/>
  <c r="E479" i="1"/>
  <c r="H479" i="1" s="1"/>
  <c r="E332" i="1"/>
  <c r="E256" i="1"/>
  <c r="E334" i="1"/>
  <c r="E88" i="1"/>
  <c r="H88" i="1" s="1"/>
  <c r="E414" i="1"/>
  <c r="H414" i="1" s="1"/>
  <c r="E416" i="1"/>
  <c r="H416" i="1" s="1"/>
  <c r="E477" i="1"/>
  <c r="H477" i="1" s="1"/>
  <c r="E77" i="1"/>
  <c r="H77" i="1" s="1"/>
  <c r="E292" i="1"/>
  <c r="H292" i="1" s="1"/>
  <c r="E290" i="1"/>
  <c r="H290" i="1" s="1"/>
  <c r="E291" i="1"/>
  <c r="H291" i="1" s="1"/>
  <c r="E58" i="1"/>
  <c r="H58" i="1" s="1"/>
  <c r="E56" i="1"/>
  <c r="H56" i="1" s="1"/>
  <c r="E57" i="1"/>
  <c r="H57" i="1" s="1"/>
  <c r="H66" i="1"/>
  <c r="C25" i="3" s="1"/>
  <c r="E453" i="1"/>
  <c r="H453" i="1" s="1"/>
  <c r="E452" i="1"/>
  <c r="H452" i="1" s="1"/>
  <c r="E338" i="1"/>
  <c r="H338" i="1" s="1"/>
  <c r="E337" i="1"/>
  <c r="H337" i="1" s="1"/>
  <c r="H371" i="1" l="1"/>
  <c r="H332" i="1"/>
  <c r="H449" i="1"/>
  <c r="H415" i="1"/>
  <c r="H383" i="1" s="1"/>
  <c r="H287" i="1"/>
  <c r="H256" i="1"/>
  <c r="H334" i="1"/>
  <c r="H475" i="1"/>
  <c r="H460" i="1" s="1"/>
  <c r="H370" i="1"/>
  <c r="H285" i="1"/>
  <c r="E34" i="3"/>
  <c r="M34" i="3"/>
  <c r="G34" i="3"/>
  <c r="K34" i="3"/>
  <c r="I34" i="3"/>
  <c r="S34" i="3"/>
  <c r="Q34" i="3"/>
  <c r="O34" i="3"/>
  <c r="K25" i="3"/>
  <c r="M25" i="3"/>
  <c r="E16" i="3"/>
  <c r="G16" i="3"/>
  <c r="C10" i="3"/>
  <c r="H234" i="1"/>
  <c r="H60" i="1"/>
  <c r="C22" i="3" s="1"/>
  <c r="O22" i="3" s="1"/>
  <c r="H83" i="1"/>
  <c r="C31" i="3" s="1"/>
  <c r="H70" i="1"/>
  <c r="C28" i="3" s="1"/>
  <c r="Q31" i="3" l="1"/>
  <c r="U31" i="3" s="1"/>
  <c r="M28" i="3"/>
  <c r="O28" i="3"/>
  <c r="U16" i="3"/>
  <c r="G47" i="3"/>
  <c r="G50" i="3" s="1"/>
  <c r="U34" i="3"/>
  <c r="U25" i="3"/>
  <c r="E10" i="3"/>
  <c r="E47" i="3" s="1"/>
  <c r="E50" i="3" s="1"/>
  <c r="H357" i="1"/>
  <c r="H434" i="1"/>
  <c r="H53" i="1"/>
  <c r="C19" i="3" s="1"/>
  <c r="H305" i="1"/>
  <c r="H268" i="1"/>
  <c r="K19" i="3" l="1"/>
  <c r="M19" i="3"/>
  <c r="S19" i="3"/>
  <c r="I19" i="3"/>
  <c r="I47" i="3" s="1"/>
  <c r="I50" i="3" s="1"/>
  <c r="U28" i="3"/>
  <c r="O19" i="3"/>
  <c r="Q19" i="3"/>
  <c r="U22" i="3"/>
  <c r="U10" i="3"/>
  <c r="H233" i="1"/>
  <c r="H8" i="1" l="1"/>
  <c r="C46" i="3"/>
  <c r="U19" i="3"/>
  <c r="K46" i="3" l="1"/>
  <c r="K47" i="3" s="1"/>
  <c r="K50" i="3" s="1"/>
  <c r="M46" i="3"/>
  <c r="M47" i="3" s="1"/>
  <c r="M50" i="3" s="1"/>
  <c r="Q46" i="3"/>
  <c r="Q47" i="3" s="1"/>
  <c r="Q50" i="3" s="1"/>
  <c r="S46" i="3"/>
  <c r="S47" i="3" s="1"/>
  <c r="S50" i="3" s="1"/>
  <c r="O46" i="3"/>
  <c r="O47" i="3" s="1"/>
  <c r="O50" i="3" s="1"/>
  <c r="C47" i="3"/>
  <c r="E49" i="3" s="1"/>
  <c r="E52" i="3" s="1"/>
  <c r="E51" i="3"/>
  <c r="G51" i="3" s="1"/>
  <c r="I51" i="3" s="1"/>
  <c r="K51" i="3" l="1"/>
  <c r="M51" i="3" s="1"/>
  <c r="O51" i="3" s="1"/>
  <c r="Q51" i="3" s="1"/>
  <c r="S51" i="3" s="1"/>
  <c r="U51" i="3" s="1"/>
  <c r="U50" i="3"/>
  <c r="U46" i="3"/>
  <c r="U47" i="3" s="1"/>
  <c r="C9" i="3"/>
  <c r="C30" i="3"/>
  <c r="O49" i="3"/>
  <c r="C18" i="3"/>
  <c r="S49" i="3"/>
  <c r="C42" i="3"/>
  <c r="C36" i="3"/>
  <c r="C15" i="3"/>
  <c r="C21" i="3"/>
  <c r="C12" i="3"/>
  <c r="C27" i="3"/>
  <c r="C24" i="3"/>
  <c r="C33" i="3"/>
  <c r="C39" i="3"/>
  <c r="G49" i="3"/>
  <c r="G52" i="3" s="1"/>
  <c r="K49" i="3"/>
  <c r="Q49" i="3"/>
  <c r="I49" i="3"/>
  <c r="M49" i="3"/>
  <c r="C45" i="3"/>
  <c r="I52" i="3" l="1"/>
  <c r="K52" i="3" s="1"/>
  <c r="M52" i="3" s="1"/>
  <c r="O52" i="3" s="1"/>
  <c r="Q52" i="3" s="1"/>
  <c r="S52" i="3" s="1"/>
  <c r="U52" i="3" s="1"/>
  <c r="D47" i="3"/>
  <c r="U49" i="3"/>
</calcChain>
</file>

<file path=xl/comments1.xml><?xml version="1.0" encoding="utf-8"?>
<comments xmlns="http://schemas.openxmlformats.org/spreadsheetml/2006/main">
  <authors>
    <author>Delson</author>
  </authors>
  <commentList>
    <comment ref="F10" authorId="0" shapeId="0">
      <text>
        <r>
          <rPr>
            <b/>
            <sz val="9"/>
            <color indexed="81"/>
            <rFont val="Segoe UI"/>
            <charset val="1"/>
          </rPr>
          <t>OBS: PREENCHER SOMENTE AS CÉLULAS EM AMARELO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<sst xmlns="http://schemas.openxmlformats.org/spreadsheetml/2006/main" count="1526" uniqueCount="810">
  <si>
    <t>PREFEITURA DE JUIZ DE FORA</t>
  </si>
  <si>
    <t>SECRETARIA DE OBRAS</t>
  </si>
  <si>
    <t>SUBSECRETARIA DE GESTÃO DE OBRAS E PROJETOS</t>
  </si>
  <si>
    <t>OBRA:</t>
  </si>
  <si>
    <t>DATA:</t>
  </si>
  <si>
    <t>ITEM</t>
  </si>
  <si>
    <t>DESCRIÇÃO</t>
  </si>
  <si>
    <t>REF. DESONERADA</t>
  </si>
  <si>
    <t>UNID.</t>
  </si>
  <si>
    <t>QUANT.</t>
  </si>
  <si>
    <t>PREÇO UNITÁRIO</t>
  </si>
  <si>
    <t>SEM LDI</t>
  </si>
  <si>
    <t>COM LDI</t>
  </si>
  <si>
    <t>SERVIÇOS PRELIMINARES</t>
  </si>
  <si>
    <t>1.1</t>
  </si>
  <si>
    <t>M2</t>
  </si>
  <si>
    <t>1.2</t>
  </si>
  <si>
    <t>LOCACAO CONVENCIONAL DE OBRA, UTILIZANDO GABARITO DE TÁBUAS CORRIDAS PONTALETADAS A CADA 2,00M - 2 UTILIZAÇÕES</t>
  </si>
  <si>
    <t>M</t>
  </si>
  <si>
    <t>1.3</t>
  </si>
  <si>
    <t>1.4</t>
  </si>
  <si>
    <t>LIGAÇÃO DE ÁGUA PROVISÓRIA PARA CANTEIRO, INCLUSIVE HIDRÔMETRO E CAVALETE PARA MEDIÇÃO DE ÁGUA - ENTRADA PRINCIPAL, EM AÇO GALVANIZADO DN 20MM (1/2") - PADRÃO CONCESSIONÁRIA</t>
  </si>
  <si>
    <t>1.5</t>
  </si>
  <si>
    <t>ADMINISTRAÇÃO DA OBRA</t>
  </si>
  <si>
    <t>2.1</t>
  </si>
  <si>
    <t>3.1</t>
  </si>
  <si>
    <t>M3</t>
  </si>
  <si>
    <t>3.2</t>
  </si>
  <si>
    <t>COMPACTAÇÃO MECÂNICA DE SOLO PARA EXECUÇÃO DE RADIER, COM COMPACTADOR DE SOLOS TIPO PLACA VIBRATÓRIA</t>
  </si>
  <si>
    <t>3.3</t>
  </si>
  <si>
    <t>LASTRO DE CONCRETO MAGRO, APLICADO EM PISOS, LAJES SOBRE SOLO OU RADIERS, ESPESSURA DE 5 CM</t>
  </si>
  <si>
    <t>3.4</t>
  </si>
  <si>
    <t>FABRICAÇÃO, MONTAGEM E DESMONTAGEM DE FORMA PARA RADIER, EM MADEIRA SERRADA, 4 UTILIZAÇÕES</t>
  </si>
  <si>
    <t>4.1</t>
  </si>
  <si>
    <t>4.2</t>
  </si>
  <si>
    <t>CHAPISCO APLICADO EM ALVENARIA (COM PRESENÇA DE VÃOS) E ESTRUTURAS DE CONCRETO DE FACHADA, COM ROLO PARA TEXTURA ACRÍLICA. ARGAMASSA TRAÇO 1:4 E EMULSÃO POLIMÉRICA (ADESIVO) COM PREPARO EM BETONEIRA 400L</t>
  </si>
  <si>
    <t>4.3</t>
  </si>
  <si>
    <t>EMBOÇO OU MASSA ÚNICA EM ARGAMASSA TRAÇO 1:2:8, PREPARO MECÂNICO COM BETONEIRA 400 L, APLICADA MANUALMENTE EM PANOS DE FACHADA COM PRESENÇA DE VÃOS, ESPESSURA DE 25 MM.</t>
  </si>
  <si>
    <t>4.4</t>
  </si>
  <si>
    <t>APLICAÇÃO MANUAL DE FUNDO SELADOR ACRÍLICO EM PAREDES EXTERNAS DE CASAS</t>
  </si>
  <si>
    <t>4.5</t>
  </si>
  <si>
    <t>APLICAÇÃO MANUAL DE TINTA LÁTEX ACRÍLICA EM PAREDE EXTERNAS DE CASAS, DUAS DEMÃOS</t>
  </si>
  <si>
    <t>4.6</t>
  </si>
  <si>
    <t>FIXAÇÃO (ENCUNHAMENTO) DE ALVENARIA DE VEDAÇÃO COM ESPUMA DE POLIURETANO EXPANSIVA</t>
  </si>
  <si>
    <t>MARQUISE E PAINEL DE COBOGÓ (H TOTAL: 2,50M)</t>
  </si>
  <si>
    <t>5.1</t>
  </si>
  <si>
    <t>ALVENARIA DE VEDAÇÃO COM ELEMENTO VAZADO DE CONCRETO (COBOGÓ) DE 7X40X40CM E ARGAMASSA DE ASSENTAMENTO COM PREPARO EM BETONEIRA</t>
  </si>
  <si>
    <t>5.2</t>
  </si>
  <si>
    <t>5.3</t>
  </si>
  <si>
    <t>5.4</t>
  </si>
  <si>
    <t>5.5</t>
  </si>
  <si>
    <t>CHAPISCO APLICADO NO TETO, COM ROLO PARA TEXTURA ACRÍLICA. ARGAMASSA TRAÇO 1:4 E EMULSÃO POLIMÉRICA (ADESIVO) COM PREPARO EM BETONEIRA 400L</t>
  </si>
  <si>
    <t>APLICAÇÃO MANUAL DE GESSO DESEMPENADO (SEM TALISCAS) EM TETO DE AMBIENTES DE ÁREA MAIOR QUE 10M², ESPESSURA DE 0,5CM</t>
  </si>
  <si>
    <t>APLICAÇÃO DE FUNDO SELADOR ACRÍLICO EM TETO, UMA DEMÃO</t>
  </si>
  <si>
    <t>LUMINÁRIA TIPO CALHA, DE SOBREPOR, COM 1 LÂMPADA TUBULAR FLUORESCENTE DE 18 W, COM REATOR DE PARTIDA RÁPIDA - FORNECIMENTO E INSTALAÇÃO</t>
  </si>
  <si>
    <t>6.1</t>
  </si>
  <si>
    <t>TRAMA DE MADEIRA COMPOSTA POR TERÇAS PARA TELHADOS DE ATÉ 2 ÁGUAS PARA TELHA ONDULADA DE FIBROCIMENTO, METÁLICA, PLÁSTICA OU TERMOACÚSTICA, INCLUSO TRANSPORTE VERTICAL</t>
  </si>
  <si>
    <t>6.2</t>
  </si>
  <si>
    <t>TELHAMENTO COM TELHA ONDULADA DE FIBROCIMENTO E=6 MM, COM RECOBRIMENTO LATERAL DE 1 1/4 DE ONDA PARA TELHADO COM INCLINAÇÃO MÁXIMA DE 10°,COM ATÉ 2 ÁGUAS, INCLUSO IÇAMENTO</t>
  </si>
  <si>
    <t>6.3</t>
  </si>
  <si>
    <t>CALHA EM CHAPA DE AÇO GALVANIZADO NÚMERO 24, DESENVOLVIMENTO DE 50 CM, INCLUSO TRANSPORTE VERTICAL</t>
  </si>
  <si>
    <t>RESERVATÓRIO D'ÁGUA</t>
  </si>
  <si>
    <t>7.1</t>
  </si>
  <si>
    <t>CAIXA D´ÁGUA EM POLIETILENO, 1000 LITROS - FORNECIMENTO E INSTALAÇÃO</t>
  </si>
  <si>
    <t>7.2</t>
  </si>
  <si>
    <t>LAJE DO BARRILETE &gt; LAJE PRÉ-MOLDADA UNIDIRECIONAL, BIAPOIADA, PARA FORRO, ENCHIMENTO EM CERÂMICA, VIGOTA CONVENCIONAL, ALTURA TOTAL DA LAJE (ENCHIMENTO+CAPA) =(8+3)</t>
  </si>
  <si>
    <t>7.3</t>
  </si>
  <si>
    <t>7.4</t>
  </si>
  <si>
    <t>7.5</t>
  </si>
  <si>
    <t>ALVENARIA DE VEDAÇÃO COM BLOCO DE CONCRETO, ESP. 14CM, COM ACABAMENTO APARENTE, INCLUSIVE ARGAMASSA PARA ASSENTAMENTO</t>
  </si>
  <si>
    <t>ED-48195</t>
  </si>
  <si>
    <t>7.6</t>
  </si>
  <si>
    <t>7.7</t>
  </si>
  <si>
    <t>7.8</t>
  </si>
  <si>
    <t>APLICAÇÃO MANUAL DE FUNDO SELADOR ACRÍLICO EM PAREDES EXTERNAS DE CASAS, EXCETO FACES INTERNAS</t>
  </si>
  <si>
    <t>7.9</t>
  </si>
  <si>
    <t>APLICAÇÃO MANUAL DE TINTA LÁTEX ACRÍLICA EM PAREDE EXTERNAS DE CASAS, DUAS DEMÃOS, EXCETO FACES INTERNAS</t>
  </si>
  <si>
    <t>7.10</t>
  </si>
  <si>
    <t>PORTA DE FERRO, DE ABRIR, TIPO GRADE COM CHAPA, COM GUARNIÇÕES</t>
  </si>
  <si>
    <t>7.11</t>
  </si>
  <si>
    <t>PINTURA COM TINTA ALQUÍDICA DE FUNDO (TIPO ZARCÃO) APLICADA A ROLO OU PINCEL SOBRE SUPERFÍCIES METÁLICAS (EXCETO PERFIL) EXECUTADO EM OBRA (POR DEMÃO) EM 1 DEMÃO</t>
  </si>
  <si>
    <t>7.12</t>
  </si>
  <si>
    <t>PINTURA COM TINTA ALQUÍDICA DE ACABAMENTO (ESMALTE SINTÉTICO ACETINADO) APLICADA A ROLO OU PINCEL SOBRE SUPERFÍCIES METÁLICAS (EXCETO PERFIL ) EXECUTADO EM OBRA (POR DEMÃO) (2 DEMÃOS, NAS 2 FACES)</t>
  </si>
  <si>
    <t>PASSEIO DA CIRCULAÇÃO EXTERNA</t>
  </si>
  <si>
    <t>8.1</t>
  </si>
  <si>
    <t>8.2</t>
  </si>
  <si>
    <t>8.3</t>
  </si>
  <si>
    <t>8.4</t>
  </si>
  <si>
    <t>EXECUÇÃO DE PASSEIO (CALÇADA) OU PISO DE CONCRETO COM CONCRETO MOLDADO IN LOCO, FEITO EM OBRA, ACABAMENTO CONVENCIONAL, NÃO ARMADO</t>
  </si>
  <si>
    <t>8.5</t>
  </si>
  <si>
    <t>LIMPEZA DE SUPERFÍCIE COM JATO DE ALTA PRESSÃO</t>
  </si>
  <si>
    <t>9.1</t>
  </si>
  <si>
    <t>9.2</t>
  </si>
  <si>
    <t>9.3</t>
  </si>
  <si>
    <t>DISJUNTOR MONOPOLAR TIPO DIN, CORRENTE NOMINAL DE 32A - FORNECIMENTO E INSTALAÇÃO</t>
  </si>
  <si>
    <t>9.4</t>
  </si>
  <si>
    <t>9.5</t>
  </si>
  <si>
    <t>9.6</t>
  </si>
  <si>
    <t>9.7</t>
  </si>
  <si>
    <t>AMBIENTES INTERNOS: 1 A 7</t>
  </si>
  <si>
    <t>10.1</t>
  </si>
  <si>
    <t>AMBIENTE 1: FERRAMENTARIA</t>
  </si>
  <si>
    <t>REVESTIMENTO CERÂMICO PARA PISO COM PLACAS TIPO PORCELANATO DE DIMENSÕES 60X60 CM APLICADA EM AMBIENTES DE ÁREA MAIOR QUE 10 M²</t>
  </si>
  <si>
    <t>CONTRAPISO EM ARGAMASSA TRAÇO 1:4 (CIMENTO E AREIA), PREPARO MECÂNICO COM BETONEIRA 400 L, APLICADO EM ÁREAS MOLHADAS SOBRE LAJE, ADERIDO, ESPESSURA 2CM</t>
  </si>
  <si>
    <t>TORNEIRA PLÁSTICA 3/4 PARA TANQUE (USO EXTERNO: CIRCULAÇÃO) - FORNECIMENTO E INSTALAÇÃO</t>
  </si>
  <si>
    <t>TANQUE DE LOUÇA BRANCA COM COLUNA, 30L OU EQUIVALENTE, INCLUSO SIFÃO FLEXÍVEL EM PVC, VÁLVULA METÁLICA E TORNEIRA DE METAL CROMADO PADRÃO MÉDIO - FORNECIMENTO E INSTALAÇÃO</t>
  </si>
  <si>
    <t>BANCADA DE GRANITO CINZA POLIDO, DE 3,40 X 0,50 M, PARA PIA DE COZINHA - FORNECIMENTO E INSTALAÇÃO</t>
  </si>
  <si>
    <t>RODAMÃO EM GRANITO ANDORINHA, ALTURA 10 CM</t>
  </si>
  <si>
    <t>MESA FIXA (C: 2,00M x L: 0,90M x H: 0,75M), COMPLETA, CONFORME PROJETO</t>
  </si>
  <si>
    <t>VERGA PRÉ-MOLDADA PARA JANELAS COM MAIS DE 1,5 M DE VÃO</t>
  </si>
  <si>
    <t>CONTRAVERGA PRÉ-MOLDADA PARA VÃOS DE MAIS DE 1,5 M DE COMPRIMENTO</t>
  </si>
  <si>
    <t>FORNECIMENTO E ASSENTAMENTO DE JANELA DE ALUMÍNIO, LINHA SUPREMA ACABAMENTO ANODIZADO, TIPO BASCULA COM CONTRAMARCO, INCLUSIVE FORNECIMENTO DE VIDRO JATEADO DE 4MM, FERRAGENS E ACESSÓRIOS</t>
  </si>
  <si>
    <t>VERGA PRÉ-MOLDADA PARA PORTAS COM ATÉ 1,5 M DE VÃO</t>
  </si>
  <si>
    <t>KIT DE PORTA DE MADEIRA PARA PINTURA, SEMI-OCA (LEVE OU MÉDIA), PADRÃO MÉDIO, 80X210CM, ESPESSURA DE 3,5CM, ITENS INCLUSOS: DOBRADIÇAS, MONTAGEM E INSTALAÇÃO DO BATENTE, FECHADURA COM EXECUÇÃO DO FURO - FORNECIMENTO E INSTALAÇÃO</t>
  </si>
  <si>
    <t>LIXAMENTO DE MADEIRA PARA APLICAÇÃO DE FUNDO OU PINTURA</t>
  </si>
  <si>
    <t>PINTURA FUNDO NIVELADOR ALQUÍDICO BRANCO EM MADEIRA</t>
  </si>
  <si>
    <t>PINTURA TINTA DE ACABAMENTO (PIGMENTADA) ESMALTE SINTÉTICO ACETINADO EM MADEIRA, 2 DEMÃOS</t>
  </si>
  <si>
    <t>CHAPISCO APLICADO EM ALVENARIAS E ESTRUTURAS DE CONCRETO INTERNAS, COM COLHER DE PEDREIRO. ARGAMASSA TRAÇO 1:3 COM PREPARO MANUAL</t>
  </si>
  <si>
    <t>MASSA ÚNICA, PARA RECEBIMENTO DE PINTURA, EM ARGAMASSA TRAÇO 1:2:8, PREPARO MECÂNICO COM BETONEIRA 400L, APLICADA MANUALMENTE EM FACES INTERNAS DE PAREDES, ESPESSURA DE 20MM, COM EXECUÇÃO DE TALISCAS</t>
  </si>
  <si>
    <t>APLICAÇÃO DE FUNDO SELADOR ACRÍLICO EM PAREDES, UMA DEMÃO</t>
  </si>
  <si>
    <t>APLICAÇÃO MANUAL DE PINTURA COM TINTA LÁTEX ACRÍLICA EM PAREDES, DUAS DEMÃOS</t>
  </si>
  <si>
    <t>SOLEIRA EM GRANITO, LARGURA 15 CM, ESPESSURA 2,0 CM</t>
  </si>
  <si>
    <t>PEITORIL LINEAR EM GRANITO OU MÁRMORE, L=15CM, COMPRIMENTO DE ATÉ 2M, ASSENTADO COM ARGAMASSA 1:6 COM ADITIVO</t>
  </si>
  <si>
    <t>RODAPÉ CERÂMICO DE 7CM DE ALTURA COM PLACAS TIPO ESMALTADA EXTRA DE DIMENSÕES 60X60CM</t>
  </si>
  <si>
    <t>LUMINÁRIA TIPO CALHA, DE SOBREPOR, COM 2 LÂMPADAS TUBULARES FLUORESCENTES DE 18 W, COM REATOR DE PARTIDA RÁPIDA - FORNECIMENTO E INSTALAÇÃO</t>
  </si>
  <si>
    <t>CUBA &gt; SERVIÇO DE INSTALAÇÃO DE TUBO DE PVC, SÉRIE NORMAL, ESGOTO PREDIAL, DN 40 MM (INSTALADO EM RAMAL DE DESCARGA OU RAMAL DE ESGOTO SANITÁRIO), INCLUSIVE CONEXÕES, CORTES E FIXAÇÕES, PARA PRÉDIOS.</t>
  </si>
  <si>
    <t>CAIXA SIFONADA, PVC, DN 150 X 185 X 75 MM, JUNTA ELÁSTICA, FORNECIDA E INSTALADA EM RAMAL DE DESCARGA OU EM RAMAL DE ESGOTO SANITÁRIO</t>
  </si>
  <si>
    <t>USO INTERNO E EXTERNO &gt; PONTO DE CONSUMO TERMINAL DE ÁGUA FRIA (SUBRAMAL) COM TUBULAÇÃO DE PVC, DN 25 MM, INSTALADO EM RAMAL DE ÁGUA, INCLUSOS RASGO E CHUMBAMENTO EM ALVENARIA</t>
  </si>
  <si>
    <t>SERVIÇO DE INSTALAÇÃO DE TUBOS DE PVC, SOLDÁVEL, ÁGUA FRIA, DN 25 MM (INSTALADO EM RAMAL, SUB-RAMAL, RAMAL DE DISTRIBUIÇÃO OU PRUMADA), INCLUSIVE CONEXÕES, CORTES E FIXAÇÕES, PARA PRÉDIOS</t>
  </si>
  <si>
    <t>REGISTRO DE PRESSÃO BRUTO, LATÃO, ROSCÁVEL, 3/4", COM ACABAMENTO E CANOPLA CROMADOS. FORNECIDO E INSTALADO EM RAMAL DE ÁGUA</t>
  </si>
  <si>
    <t>10.2</t>
  </si>
  <si>
    <t>AMBIENTE 2: REFEITÓRIO</t>
  </si>
  <si>
    <t>BANCADA DE GRANITO CINZA POLIDO, DE 3,00 X 0,60 M, PARA PIA DE COZINHA - FORNECIMENTO E INSTALAÇÃO</t>
  </si>
  <si>
    <t>CUBA DE EMBUTIR RETANGULAR DE AÇO INOXIDÁVEL, 46 X 30 X 12 CM - FORNECIMENTO E INSTALAÇÃO</t>
  </si>
  <si>
    <t>TORNEIRA CROMADA TUBO MÓVEL, DE PAREDE, 1/2 OU 3/4, PARA PIA DE COZINHA, PADRÃO MÉDIO - FORNECIMENTO E INSTALAÇÃO</t>
  </si>
  <si>
    <t>VÁLVULA EM METAL CROMADO TIPO AMERICANA 3.1/2” X 1.1/2” PARA PIA - FORNECIMENTO E INSTALAÇÃO</t>
  </si>
  <si>
    <t>SIFÃO DO TIPO GARRAFA/COPO EM PVC 1.1/4” X 1.1/2” - FORNECIMENTO E INSTALAÇÃO</t>
  </si>
  <si>
    <t>REVESTIMENTO CERÂMICO PARA PAREDES INTERNAS COM PLACAS TIPO ESMALTADA EXTRA DE DIMENSÕES 20X20 CM APLICADAS EM AMBIENTES DE ÁREA MAIOR QUE 5M² NA ALTURA INTEIRA DAS PAREDES</t>
  </si>
  <si>
    <t>EMBOÇO, PARA RECEBIMENTO DE CERÂMICA, EM ARGAMASSA TRAÇO 1:2:8, PREPARO MECÂNICO COM BETONEIRA 400L, APLICADO MANUALMENTE EM FACES INTERNAS DE PAREDES, PARA AMBIENTE COM ÁREA MAIOR QUE 10M2, ESPESSURA DE 20MM,COM EXECUÇÃO DE TALISCAS</t>
  </si>
  <si>
    <t>PONTO DE CONSUMO TERMINAL DE ÁGUA FRIA (SUBRAMAL) COM TUBULAÇÃO DE PVC, DN 25 MM, INSTALADO EM RAMAL DE ÁGUA, INCLUSOS RASGO E CHUMBAMENTO EM ALVENARIA</t>
  </si>
  <si>
    <t>10.3</t>
  </si>
  <si>
    <t>AMBIENTE 3: VESTIÁRIO / SANITÁRIO FEMININO</t>
  </si>
  <si>
    <t>REVESTIMENTO CERÂMICO PARA PISO COM PLACAS TIPO PORCELANATO DE DIMENSÕES 60X60 CM APLICADA EM AMBIENTES DE ÁREA ENTRE 5 M² E 10 M²</t>
  </si>
  <si>
    <t>VASO SANITÁRIO SIFONADO COM CAIXA ACOPLADA LOUÇA BRANCA - FORNECIMENTO E INSTALAÇÃO</t>
  </si>
  <si>
    <t>ASSENTO SANITÁRIO CONVENCIONAL - FORNECIMENTO E INSTALACAO</t>
  </si>
  <si>
    <t>CHUVEIRO ELÉTRICO COMUM CORPO PLÁSTICO, TIPO DUCHA FORNECIMENTO E INSTALAÇÃO</t>
  </si>
  <si>
    <t>ACABAMENTO MONOCOMANDO PARA CHUVEIRO FORNECIMENTO E INSTALAÇÃO</t>
  </si>
  <si>
    <t>CUBA DE EMBUTIR OVAL EM LOUÇA BRANCA, 35 X 50CM OU EQUIVALENTE - FORNECIMENTO E INSTALAÇÃO</t>
  </si>
  <si>
    <t>BANCADA DE GRANITO CINZA POLIDO, DE 1,24 X 0,60 M, PARA LAVATÓRIO - FORNECIMENTO E INSTALAÇÃO</t>
  </si>
  <si>
    <r>
      <rPr>
        <sz val="11"/>
        <color rgb="FF000000"/>
        <rFont val="Calibri"/>
        <family val="2"/>
        <charset val="1"/>
      </rPr>
      <t xml:space="preserve">TESTEIRA EM GRANITO ANDORINHA </t>
    </r>
    <r>
      <rPr>
        <i/>
        <sz val="11"/>
        <color rgb="FF000000"/>
        <rFont val="Calibri"/>
        <family val="2"/>
        <charset val="1"/>
      </rPr>
      <t>&gt; (H: 0,15M)</t>
    </r>
  </si>
  <si>
    <t>VÁLVULA EM METAL CROMADO 1.1/2” X 1.1/2” PARA TANQUE OU LAVATÓRIO, COM OU SEM LADRÃO - FORNECIMENTO E INSTALAÇÃO.</t>
  </si>
  <si>
    <t>SIFÃO DO TIPO GARRAFA EM METAL CROMADO 1” X 1.1/2” - FORNECIMENTO E INSTALAÇÃO</t>
  </si>
  <si>
    <t>ENGATE FLEXÍVEL EM INOX, ½” X 30CM - FORNECIMENTO E INSTALAÇÃO</t>
  </si>
  <si>
    <t>TORNEIRA CROMADA DE MESA, 1/2” OU 3/4”, PARA LAVATÓRIO, PADRÃO MÉDIO - FORNECIMENTO E INSTALAÇÃO</t>
  </si>
  <si>
    <t>DIVISORIA SANITÁRIA, TIPO CABINE, EM GRANITO CINZA POLIDO, ESP=3CM, ASSENTADO COM ARGAMASSA COLANTE AC III-E, EXCLUSIVE FERRAGENS</t>
  </si>
  <si>
    <t>PORTA EM ALUMÍNIO DE ABRIR TIPO VENEZIANA COM GUARNIÇÃO, FIXAÇÃO COM PARAFUSOS - FORNECIMENTO E INSTALAÇÃO</t>
  </si>
  <si>
    <t>TARJETA TIPO LIVRE/OCUPADO PARA PORTA DE BANHEIRO.</t>
  </si>
  <si>
    <t>BANCO MODELO 5 (0,80M x 0,40M), COMPLETO, CONFORME PROJETO</t>
  </si>
  <si>
    <t>ED-15446</t>
  </si>
  <si>
    <t>VERGA PRÉ-MOLDADA PARA JANELAS COM ATÉ 1,5 M DE VÃO</t>
  </si>
  <si>
    <t>CONTRAVERGA MOLDADA IN LOCO EM CONCRETO PARA VÃOS DE ATÉ 1,5 M DE COMPRIMENTO</t>
  </si>
  <si>
    <t>EMBOÇO, PARA RECEBIMENTO DE CERÂMICA, EM ARGAMASSA TRAÇO 1:2:8, PREPARO MECÂNICO COM BETONEIRA 400L, APLICADO MANUALMENTE EM FACES INTERNAS DE PAREDES, PARA AMBIENTE COM ÁREA ENTRE 5M2 E 10M2, ESPESSURA DE 20MM, COM EXECUÇÃO DE TALISCAS</t>
  </si>
  <si>
    <t>CABIDE METÁLICO SIMPLES CROMADO, INCLUSIVE FIXAÇÃO</t>
  </si>
  <si>
    <t>BACIA SANITÁRIA &gt; SERVIÇO DE INST. TUBO PVC, SÉRIE N, ESGOTO PREDIAL, 100 MM (INST. RAMAL DESCARGA, RAMAL DE ESG. SANIT., PRUMADA ESG. SANIT., VENTILAÇÃO OU SUB-COLETOR AÉREO), INCL. CONEXÕES E CORTES, FIXAÇÕES, P/ PRÉDIOS</t>
  </si>
  <si>
    <t>CHUVEIRO &gt; SERVIÇO DE INSTALAÇÃO DE TUBO DE PVC, SÉRIE NORMAL, ESGOTO PREDIAL, DN 50 MM (INSTALADO EM RAMAL DE DESCARGA OU RAMAL DE ESGOTO SANITÁRIO), INCLUSIVE CONEXÕES, CORTES E FIXAÇÕES, PARA PRÉDIOS.</t>
  </si>
  <si>
    <t>ESPELHO CRISTAL E = 4 MM (0,70MX0,40M)</t>
  </si>
  <si>
    <t>I-11186</t>
  </si>
  <si>
    <t>PORTA TOALHA ROSTO EM METAL CROMADO, TIPO ARGOLA, INCLUSO FIXAÇÃO</t>
  </si>
  <si>
    <t>PORTA TOALHA BANHO EM METAL CROMADO, TIPO BARRA, INCLUSO FIXAÇÃO</t>
  </si>
  <si>
    <t>PAPELEIRA PLASTICA TIPO DISPENSER PARA PAPEL HIGIENICO ROLAO, INCLUSIVE FIXAÇÃO UTILIZANDO 4 PARAFUSOS E BUCHAS DE NYLON</t>
  </si>
  <si>
    <t>I-37400      95541</t>
  </si>
  <si>
    <t>SABONETEIRA PLASTICA TIPO DISPENSER PARA SABONETE LIQUIDO COM RESERVATORIO 800 A 1500 ML, INCLUSO FIXAÇÃO</t>
  </si>
  <si>
    <t>SABONETEIRA DE PAREDE EM METAL CROMADO, INCLUSO FIXAÇÃO</t>
  </si>
  <si>
    <t>10.4</t>
  </si>
  <si>
    <t>AMBIENTE 4: VESTIÁRIO DA EQUIPE DE MANUT. PREDIAL E JARDINAGEM MASCULINO</t>
  </si>
  <si>
    <t>BANCO MODELO 4 (3,60M x 0,40M), COMPLETO, CONFORME PROJETO</t>
  </si>
  <si>
    <t>AMBIENTE 5: SANITÁRIO MASCULINO</t>
  </si>
  <si>
    <t>BANCADA DE GRANITO CINZA POLIDO, DE 0,50 X 0,60 M, PARA LAVATÓRIO - FORNECIMENTO E INSTALAÇÃO</t>
  </si>
  <si>
    <t>VÁLVULA EM METAL CROMADO 1.1/2 X 1.1/2 PARA TANQUE OU LAVATÓRIO, COM OU SEM LADRÃO - FORNECIMENTO E INSTALAÇÃO.</t>
  </si>
  <si>
    <t>SIFÃO DO TIPO GARRAFA EM METAL CROMADO 1 X 1.1/2 - FORNECIMENTO E INSTALAÇÃO</t>
  </si>
  <si>
    <t>MICTÓRIO SIFONADO LOUÇA BRANCA PADRÃO MÉDIO FORNECIMENTO E INSTALAÇÃO</t>
  </si>
  <si>
    <t>MICTÓRIO E CUBA &gt; SERVIÇO DE INSTALAÇÃO DE TUBO DE PVC, SÉRIE NORMAL, ESGOTO PREDIAL, DN 40 MM (INSTALADO EM RAMAL DE DESCARGA OU RAMAL DE ESGOTO SANITÁRIO), INCLUSIVE CONEXÕES, CORTES E FIXAÇÕES, PARA PRÉDIOS.</t>
  </si>
  <si>
    <t>REGISTRO DE GAVETA BRUTO, LATÃO, ROSCÁVEL, 1, COM ACABAMENTO E CANOPLA CROMADOS, INSTALADO EM RESERVAÇÃO DE ÁGUA DE EDIFICAÇÃO QUE POSSUA RESERVATÓRIO DE FIBRA/FIBROCIMENTO FORNECIMENTO E INSTALAÇÃO</t>
  </si>
  <si>
    <t>AMBIENTE 6: VESTIÁRIO DO VIGIA</t>
  </si>
  <si>
    <t>BANCO MODELOS 2 (1,35M x 0,40M) E 3 (2,35M x 0,40M), COMPLETO, CONFORME PROJETO</t>
  </si>
  <si>
    <t>AMBIENTE 7: VESTIÁRIO VIGILANTE ARMADO</t>
  </si>
  <si>
    <t>REVESTIMENTO CERÂMICO PARA PISO COM PLACAS TIPO PORCELANATO DE DIMENSÕES 60X60 CM APLICADA EM AMBIENTES DE ÁREA MENOR QUE 5 M²</t>
  </si>
  <si>
    <t>BANCO MODELO 1 (2,00M x 0,40M), COMPLETO, CONFORME PROJETO</t>
  </si>
  <si>
    <t>INSTALAÇÕES ELÉTRICAS E DE ILUMINAÇÃO</t>
  </si>
  <si>
    <t>UNID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</si>
  <si>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</si>
  <si>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</si>
  <si>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</si>
  <si>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</si>
  <si>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</si>
  <si>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</si>
  <si>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</si>
  <si>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</si>
  <si>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</si>
  <si>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9.18</t>
  </si>
  <si>
    <t>9.19</t>
  </si>
  <si>
    <t>9.20</t>
  </si>
  <si>
    <t>9.21</t>
  </si>
  <si>
    <t>9.25</t>
  </si>
  <si>
    <t>9.26</t>
  </si>
  <si>
    <t>9.27</t>
  </si>
  <si>
    <t>9.28</t>
  </si>
  <si>
    <t>9.29</t>
  </si>
  <si>
    <t>9.30</t>
  </si>
  <si>
    <t>9.31</t>
  </si>
  <si>
    <t>9.32</t>
  </si>
  <si>
    <t>LUMINÁRIA TIPO PLAFON CIRCULAR, DE SOBREPOR, COM LED DE 12/13 W - FORNECIMENTO E INSTALAÇÃO</t>
  </si>
  <si>
    <t>TOMADA MÉDIA DE EMBUTIR (1 MÓDULO), 2P+T 20 A, INCLUINDO SUPORTE E PLACA - FORNECIMENTO E INSTALAÇÃO</t>
  </si>
  <si>
    <t>9.33</t>
  </si>
  <si>
    <t>9.34</t>
  </si>
  <si>
    <t>9.35</t>
  </si>
  <si>
    <t>INTERRUPTOR SIMPLES (1 MÓDULO), 10A/250V, INCLUINDO SUPORTE E PLACA - FORNECIMENTO E INSTALAÇÃO</t>
  </si>
  <si>
    <t>INTERRUPTOR SIMPLES (2 MÓDULOS), 10A/250V, INCLUINDO SUPORTE E PLACA - FORNECIMENTO E INSTALAÇÃO</t>
  </si>
  <si>
    <t>INTERRUPTOR PARALELO (1 MÓDULO), 10A/250V, INCLUINDO SUPORTE E PLACA - FORNECIMENTO E INSTALAÇÃO</t>
  </si>
  <si>
    <t>INTERRUPTOR SIMPLES (1 MÓDULO) COM 1 TOMADA DE EMBUTIR 2P+T 10 A, INCLUINDO SUPORTE E PLACA - FORNECIMENTO E INSTALAÇÃO</t>
  </si>
  <si>
    <t>INTERRUPTOR PARALELO (1 MÓDULO) COM 1 TOMADA DE EMBUTIR 2P+T 10 A, INCLUINDO SUPORTE E PLACA - FORNECIMENTO E INSTALAÇÃO</t>
  </si>
  <si>
    <t>INTERRUPTOR PARALELO (1 MÓDULO) COM 1 TOMADA DE EMBUTIR 2P+T 20 A, INCLUINDO SUPORTE E PLACA - FORNECIMENTO E INSTALAÇÃO</t>
  </si>
  <si>
    <t>ELETRODUTO FLEXÍVEL CORRUGADO, PVC, DN 32 MM (1"), PARA CIRCUITOS TERMINAIS, INSTALADO EM FORRO - FORNECIMENTO E INSTALAÇÃO</t>
  </si>
  <si>
    <t>ELETRODUTO FLEXÍVEL CORRUGADO, PVC, DN 25 MM (3/4"), PARA CIRCUITOS TERMINAIS, INSTALADO EM FORRO - FORNECIMENTO E INSTALAÇÃO</t>
  </si>
  <si>
    <t>ELETRODUTO FLEXÍVEL CORRUGADO, PEAD, DN 100 (4"), PARA REDE ENTERRADA DE DISTRIBUIÇÃO DE ENERGIA ELÉTRICA - FORNECIMENTO E INSTALAÇÃO</t>
  </si>
  <si>
    <t>CABO DE COBRE FLEXÍVEL ISOLADO, 1,5 MM², ANTI-CHAMA 0,6/1,0 KV, PARA CIRCUITOS TERMINAIS - FORNECIMENTO E INSTALAÇÃO</t>
  </si>
  <si>
    <t>CABO DE COBRE FLEXÍVEL ISOLADO, 2,5 MM², ANTI-CHAMA 0,6/1,0 KV, PARA CIRCUITOS TERMINAIS - FORNECIMENTO E INSTALAÇÃO</t>
  </si>
  <si>
    <t>CABO DE COBRE FLEXÍVEL ISOLADO, 4 MM², ANTI-CHAMA 0,6/1,0 KV, PARA CIRCUITOS TERMINAIS - FORNECIMENTO E INSTALAÇÃO</t>
  </si>
  <si>
    <t>CABO DE COBRE FLEXÍVEL ISOLADO, 6 MM², ANTI-CHAMA 0,6/1,0 KV, PARA CIRCUITOS TERMINAIS - FORNECIMENTO E INSTALAÇÃO</t>
  </si>
  <si>
    <t>CABO DE COBRE FLEXÍVEL ISOLADO, 16 MM², ANTI-CHAMA 0,6/1,0 KV, PARA CIRCUITOS TERMINAIS - FORNECIMENTO E INSTALAÇÃO</t>
  </si>
  <si>
    <t>CABO DE COBRE FLEXÍVEL ISOLADO, 35 MM², ANTI-CHAMA 0,6/1,0 KV, PARA REDE ENTERRADA DE DISTRIBUIÇÃO DE ENERGIA ELÉTRICA - FORNECIMENTO E INSTALAÇÃO</t>
  </si>
  <si>
    <t>DISJUNTOR MONOPOLAR TIPO DIN, CORRENTE NOMINAL DE 16A - FORNECIMENTO E INSTALAÇÃO</t>
  </si>
  <si>
    <t>DISJUNTOR MONOPOLAR TIPO DIN, CORRENTE NOMINAL DE 20A - FORNECIMENTO E INSTALAÇÃO</t>
  </si>
  <si>
    <t>DISJUNTOR BIPOLAR TIPO DIN, CORRENTE NOMINAL DE 40A - FORNECIMENTO E INSTALAÇÃO</t>
  </si>
  <si>
    <t>101895A   COTAÇÃO</t>
  </si>
  <si>
    <t>DISJUNTOR TERMOMAGNÉTICO BIPOLAR, CORRENTE NOMINAL DE 125A / K32A - FORNECIMENTO E INSTALAÇÃO</t>
  </si>
  <si>
    <t>DISPOSITIVO DPS CLASSE II, 1 POLO, TENSAO MAXIMA DE 275 V, CORRENTE MAXIMA DE (80 KA) *90* KA (TIPO AC)</t>
  </si>
  <si>
    <t>9.36</t>
  </si>
  <si>
    <t>QUADRO DE DISTRIBUIÇÃO DE ENERGIA EM CHAPA DE AÇO GALVANIZADO, DE EMBUTIR, COM BARRAMENTO TRIFÁSICO, PARA 12 DISJUNTORES DIN 100A - FORNECIMENTO E INSTALAÇÃO</t>
  </si>
  <si>
    <t>CAIXA OCTOGONAL 4" X 4", PVC, INSTALADA EM LAJE - FORNECIMENTO E INSTALAÇÃO</t>
  </si>
  <si>
    <t>CAIXA RETANGULAR 4" X 2" BAIXA (0,30 M DO PISO), PVC, INSTALADA EM PAREDE - FORNECIMENTO E INSTALAÇÃO</t>
  </si>
  <si>
    <t>CAIXA RETANGULAR 4" X 2" MÉDIA (1,30 M DO PISO), PVC, INSTALADA EM PAREDE - FORNECIMENTO E INSTALAÇÃO</t>
  </si>
  <si>
    <t>CAIXA RETANGULAR 4" X 2" ALTA (2,00 M DO PISO), PVC, INSTALADA EM PAREDE - FORNECIMENTO E INSTALAÇÃO</t>
  </si>
  <si>
    <t>SUPORTE PARAFUSADO COM PLACA DE ENCAIXE 4" X 2" ALTO (2,00 M DO PISO) PARA PONTO ELÉTRICO - FORNECIMENTO E INSTALAÇÃO</t>
  </si>
  <si>
    <t>9.37</t>
  </si>
  <si>
    <t>9.38</t>
  </si>
  <si>
    <t>9.39</t>
  </si>
  <si>
    <t>9.40</t>
  </si>
  <si>
    <t>CONECTOR EM PORCELANA TRIPOLAR P/ CABO 6MM2 - FORNECIMENTO E INSTALAÇÃO</t>
  </si>
  <si>
    <t>ED-15114             I-39445</t>
  </si>
  <si>
    <t>ED-15115             I-39446</t>
  </si>
  <si>
    <t>ED-51092                I-39472</t>
  </si>
  <si>
    <t>FUNDAÇÃO</t>
  </si>
  <si>
    <t>3.1.1</t>
  </si>
  <si>
    <t>3.1.2</t>
  </si>
  <si>
    <t>3.1.3</t>
  </si>
  <si>
    <t>3.1.4</t>
  </si>
  <si>
    <t>3.1.5</t>
  </si>
  <si>
    <t>KG</t>
  </si>
  <si>
    <t>3.1.6</t>
  </si>
  <si>
    <t>3.1.7</t>
  </si>
  <si>
    <t>PILARES</t>
  </si>
  <si>
    <t>VIGAS</t>
  </si>
  <si>
    <t>LAJES</t>
  </si>
  <si>
    <t>3.2.1</t>
  </si>
  <si>
    <t>3.3.1</t>
  </si>
  <si>
    <t>3.4.1</t>
  </si>
  <si>
    <t>3.2.2</t>
  </si>
  <si>
    <t>3.3.2</t>
  </si>
  <si>
    <t>3.3.3</t>
  </si>
  <si>
    <t>3.3.4</t>
  </si>
  <si>
    <t>3.3.5</t>
  </si>
  <si>
    <t>3.3.6</t>
  </si>
  <si>
    <t>3.3.7</t>
  </si>
  <si>
    <t>3.4.2</t>
  </si>
  <si>
    <t>3.4.3</t>
  </si>
  <si>
    <t>3.4.4</t>
  </si>
  <si>
    <t>3.4.5</t>
  </si>
  <si>
    <t>3.2.3</t>
  </si>
  <si>
    <t>3.2.4</t>
  </si>
  <si>
    <t>3.2.5</t>
  </si>
  <si>
    <t>M3xKM</t>
  </si>
  <si>
    <t>3.1.8</t>
  </si>
  <si>
    <t>3.1.9</t>
  </si>
  <si>
    <t>3.1.10</t>
  </si>
  <si>
    <t>3.1.11</t>
  </si>
  <si>
    <t>3.1.12</t>
  </si>
  <si>
    <t>CARGA, MANOBRA E DESCARGA DE SOLOS E MATERIAIS GRANULARES EM CAMINHÃO BASCULANTE 6 M³ - CARGA COM PÁ CARREGADEIRA (CAÇAMBA DE 1,7 A 2,8 M³ / 128 HP) E DESCARGA LIVRE (BLOCOS)</t>
  </si>
  <si>
    <t>CARGA, MANOBRA E DESCARGA DE SOLOS E MATERIAIS GRANULARES EM CAMINHÃO BASCULANTE 6 M³ - CARGA COM PÁ CARREGADEIRA (CAÇAMBA DE 1,7 A 2,8 M³ / 128 HP) E DESCARGA LIVRE (BALDRAMES)</t>
  </si>
  <si>
    <t>LASTRO DE CONCRETO MAGRO, APLICADO EM BLOCOS DE COROAMENTO OU SAPATAS, ESPESSURA DE 5 CM (BLOCOS)</t>
  </si>
  <si>
    <t>IMPERMEABILIZAÇÃO DE FLOREIRA OU VIGA BALDRAME COM ARGAMASSA DE CIMENTO E AREIA, COM ADITIVO IMPERMEABILIZANTE, E = 2 CM</t>
  </si>
  <si>
    <t>ESCAVAÇÃO MECANIZADA PARA VIGA BALDRAME COM MINI-ESCAVADEIRA (INCLUINDO ESCAVAÇÃO PARA COLOCAÇÃO DE FÔRMAS)</t>
  </si>
  <si>
    <t>ESCAVAÇÃO MECANIZADA PARA BLOCO DE COROAMENTO OU SAPATA COM RETROESCAVADEIRA (INCLUINDO ESCAVAÇÃO PARA COLOCAÇÃO DE FÔRMAS)</t>
  </si>
  <si>
    <t>FABRICAÇÃO, MONTAGEM E DESMONTAGEM DE FÔRMA PARA VIGA BALDRAME, EM CHAPA DE MADEIRA COMPENSADA RESINADA, E=17 MM, 4 UTILIZAÇÕES</t>
  </si>
  <si>
    <t>ARMAÇÃO DE BLOCO, VIGA BALDRAME OU SAPATA UTILIZANDO AÇO CA-50 DE 10 MM - MONTAGEM</t>
  </si>
  <si>
    <t>96544A         92800</t>
  </si>
  <si>
    <t>ARMAÇÃO DE BLOCO, VIGA BALDRAME OU SAPATA UTILIZANDO AÇO CA-50 DE 5 MM - MONTAGEM</t>
  </si>
  <si>
    <t>MONTAGEM E DESMONTAGEM DE FÔRMA DE PILARES RETANGULARES E ESTRUTURAS SIMILARES, PÉ-DIREITO SIMPLES, EM CHAPA DE MADEIRA COMPENSADA RESINADA, 4 UTILIZAÇÕES</t>
  </si>
  <si>
    <t>MONTAGEM E DESMONTAGEM DE FÔRMA DE VIGA, ESCORAMENTO METÁLICO, PÉ-DIREITO SIMPLES, EM CHAPA DE MADEIRA RESINADA, 4 UTILIZAÇÕES</t>
  </si>
  <si>
    <t>MONTAGEM E DESMONTAGEM DE FÔRMA DE LAJE MACIÇA, PÉ-DIREITO SIMPLES, EM CHAPA DE MADEIRA COMPENSADA RESINADA, 4 UTILIZAÇÕES</t>
  </si>
  <si>
    <t>ARMAÇÃO DE LAJE DE ESTRUTURA CONVENCIONAL DE CONCRETO ARMADO UTILIZANDO AÇO CA-60 DE 5,0 MM - MONTAGEM</t>
  </si>
  <si>
    <t>ARMAÇÃO DE LAJE DE ESTRUTURA CONVENCIONAL DE CONCRETO ARMADO UTILIZANDO AÇO CA-50 DE 6,3 MM - MONTAGEM</t>
  </si>
  <si>
    <t>ARMAÇÃO DE LAJE DE ESTRUTURA CONVENCIONAL DE CONCRETO ARMADO UTILIZANDO AÇO CA-50 DE 8,0 MM - MONTAGEM</t>
  </si>
  <si>
    <t>CONCRETAGEM DE VIGAS E LAJES, FCK=25 MPA, PARA LAJES MACIÇAS OU NERVURADAS COM USO DE BOMBA - LANÇAMENTO, ADENSAMENTO E ACABAMENTO</t>
  </si>
  <si>
    <t>ARMAÇÃO DE PILAR OU VIGA DE ESTRUTURA CONVENCIONAL DE CONCRETO ARMADO UTILIZANDO AÇO CA-60 DE 5,0 MM - MONTAGEM</t>
  </si>
  <si>
    <t>ARMAÇÃO DE PILAR OU VIGA DE ESTRUTURA CONVENCIONAL DE CONCRETO ARMADO UTILIZANDO AÇO CA-50 DE 6,3 MM - MONTAGEM</t>
  </si>
  <si>
    <t>ARMAÇÃO DE PILAR OU VIGA DE ESTRUTURA CONVENCIONAL DE CONCRETO ARMADO UTILIZANDO AÇO CA-50 DE 8,0 MM - MONTAGEM</t>
  </si>
  <si>
    <t>ARMAÇÃO DE PILAR OU VIGA DE ESTRUTURA CONVENCIONAL DE CONCRETO ARMADO UTILIZANDO AÇO CA-50 DE 10,0 MM - MONTAGEM</t>
  </si>
  <si>
    <t>ARMAÇÃO DE PILAR OU VIGA DE ESTRUTURA CONVENCIONAL DE CONCRETO ARMADO UTILIZANDO AÇO CA-50 DE 12,5 MM - MONTAGEM</t>
  </si>
  <si>
    <t>CONCRETAGEM DE PILARES, FCK = 25 MPA, COM USO DE BOMBA - LANÇAMENTO, ADENSAMENTO E ACABAMENTO</t>
  </si>
  <si>
    <t>CONCRETAGEM DE BLOCOS DE COROAMENTO E VIGAS BALDRAMES, FCK 30 MPA, COM USO DE BOMBA LANÇAMENTO, ADENSAMENTO E ACABAMENTO</t>
  </si>
  <si>
    <t>96557A               I-1527</t>
  </si>
  <si>
    <t>FABRICAÇÃO, MONTAGEM E DESMONTAGEM DE FÔRMA PARA SAPATA, EM CHAPA DE MADEIRA COMPENSADA RESINADA, E=17 MM, 4 UTILIZAÇÕES</t>
  </si>
  <si>
    <t>3.1.13</t>
  </si>
  <si>
    <t>3.1.14</t>
  </si>
  <si>
    <t>TRANSPORTE COM CAMINHÃO BASCULANTE DE 6 M³, EM VIA URBANA PAVIMENTADA, DMT ATÉ 30 KM (DMT ADOTADO: 6,10KM) (BLOCOS)</t>
  </si>
  <si>
    <t>TRANSPORTE COM CAMINHÃO BASCULANTE DE 6 M³, EM VIA URBANA PAVIMENTADA, DMT ATÉ 30 KM (DMT ADOTADO: 6,10KM) (BALDRAMES)</t>
  </si>
  <si>
    <t>REATERRO MANUAL DE VALAS COM COMPACTAÇÃO MECANIZADA (BLOCOS E PILARETES)</t>
  </si>
  <si>
    <t>EXTINTOR DE INCÊNDIO PORTÁTIL COM CARGA DE ÁGUA PRESSURIZADA DE 10 L, CLASSE A - FORNECIMENTO E INSTALAÇÃO</t>
  </si>
  <si>
    <t>EXTINTOR DE INCÊNDIO PORTÁTIL COM CARGA DE CO2 DE 6 KG, CLASSE BC - FORNECIMENTO E INSTALAÇÃO</t>
  </si>
  <si>
    <t>PLACA DE SINALIZACAO DE SEGURANCA CONTRA INCENDIO, FOTOLUMINESCENTE, RETANGULAR, *20 X 40* CM, EM PVC *2* MM ANTI-CHAMAS (SIMBOLOS, CORES E PICTOGRAMAS CONFORME NBR 16820)</t>
  </si>
  <si>
    <t>ED-26993</t>
  </si>
  <si>
    <t>INSTALAÇÕES DE PROTEÇÃO E COMBATE A INCÊNDIO</t>
  </si>
  <si>
    <t>LUMINÁRIA DE EMERGÊNCIA AUTÔNOMA, TIPO LED COM DOIS FARÓIS, POTÊNCIA TOTAL DE 8W, FORNECIMENTO E INSTALAÇÃO</t>
  </si>
  <si>
    <t>11.1</t>
  </si>
  <si>
    <t>11.1.1</t>
  </si>
  <si>
    <t>11.1.2</t>
  </si>
  <si>
    <t>11.1.3</t>
  </si>
  <si>
    <t>11.1.4</t>
  </si>
  <si>
    <t>11.2</t>
  </si>
  <si>
    <t>11.2.1</t>
  </si>
  <si>
    <t>11.2.2</t>
  </si>
  <si>
    <t>11.2.3</t>
  </si>
  <si>
    <t>11.2.4</t>
  </si>
  <si>
    <t>11.2.5</t>
  </si>
  <si>
    <t>11.2.6</t>
  </si>
  <si>
    <t>11.2.7</t>
  </si>
  <si>
    <t>11.2.8</t>
  </si>
  <si>
    <t>11.2.9</t>
  </si>
  <si>
    <t>11.2.10</t>
  </si>
  <si>
    <t>11.2.11</t>
  </si>
  <si>
    <t>11.2.12</t>
  </si>
  <si>
    <t>11.3</t>
  </si>
  <si>
    <t>11.3.1</t>
  </si>
  <si>
    <t>11.3.2</t>
  </si>
  <si>
    <t>11.3.3</t>
  </si>
  <si>
    <t>11.3.4</t>
  </si>
  <si>
    <t>11.3.5</t>
  </si>
  <si>
    <t>11.3.6</t>
  </si>
  <si>
    <t>11.4</t>
  </si>
  <si>
    <t>11.4.1</t>
  </si>
  <si>
    <t>11.4.2</t>
  </si>
  <si>
    <t>11.4.3</t>
  </si>
  <si>
    <t>11.4.4</t>
  </si>
  <si>
    <t>11.4.5</t>
  </si>
  <si>
    <t>11.4.6</t>
  </si>
  <si>
    <t>11.4.7</t>
  </si>
  <si>
    <t>11.4.8</t>
  </si>
  <si>
    <t>11.4.9</t>
  </si>
  <si>
    <t>11.4.10</t>
  </si>
  <si>
    <t>11.5</t>
  </si>
  <si>
    <t>11.5.1</t>
  </si>
  <si>
    <t>11.5.2</t>
  </si>
  <si>
    <t>11.5.3</t>
  </si>
  <si>
    <t>11.5.4</t>
  </si>
  <si>
    <t>11.5.5</t>
  </si>
  <si>
    <t>11.5.6</t>
  </si>
  <si>
    <t>11.5.7</t>
  </si>
  <si>
    <t>11.5.8</t>
  </si>
  <si>
    <t>11.5.9</t>
  </si>
  <si>
    <t>11.5.10</t>
  </si>
  <si>
    <t>11.5.11</t>
  </si>
  <si>
    <t>11.6</t>
  </si>
  <si>
    <t>11.6.1</t>
  </si>
  <si>
    <t>11.6.2</t>
  </si>
  <si>
    <t>11.6.3</t>
  </si>
  <si>
    <t>11.6.4</t>
  </si>
  <si>
    <t>11.6.5</t>
  </si>
  <si>
    <t>11.6.6</t>
  </si>
  <si>
    <t>11.7</t>
  </si>
  <si>
    <t>11.7.1</t>
  </si>
  <si>
    <t>11.7.2</t>
  </si>
  <si>
    <t>11.7.3</t>
  </si>
  <si>
    <t>11.7.4</t>
  </si>
  <si>
    <t>11.7.5</t>
  </si>
  <si>
    <t>ESTRUTURA DE CONCRETO ARMADO</t>
  </si>
  <si>
    <t>COBERTURA, EXCETO PARA ITEM 7: RESERVATÓRIO D'ÁGUA</t>
  </si>
  <si>
    <t>VEDAÇÃO / REVESTIMENTO EXTERNO, EXCETO PARA O ITEM 7: RESERVATÓRIO D'ÁGUA</t>
  </si>
  <si>
    <t>INSTALAÇÕES HIDRÁULICAS</t>
  </si>
  <si>
    <t>LISTA DE MATERIAIS A7 - B</t>
  </si>
  <si>
    <t>LISTA DE MATERIAIS B - PIA</t>
  </si>
  <si>
    <t>LISTA DE MATERIAIS CH - C</t>
  </si>
  <si>
    <t>LISTA DE MATERIAIS D - CH</t>
  </si>
  <si>
    <t>LISTA DE MATERIAIS D - LV</t>
  </si>
  <si>
    <t>TUBO, PVC, SOLDÁVEL, DN 40MM, INSTALADO EM RAMAL DE DISTRIBUIÇÃO DE ÁGUA - FORNECIMENTO E INSTALAÇÃO</t>
  </si>
  <si>
    <t>TUBO, PVC, SOLDÁVEL, DN 25MM, INSTALADO EM RAMAL OU SUB-RAMAL DE ÁGUA - FORNECIMENTO E INSTALAÇÃO</t>
  </si>
  <si>
    <t>TUBO, PVC, SOLDÁVEL, DN 32MM, INSTALADO EM RAMAL OU SUB-RAMAL DE ÁGUA - FORNECIMENTO E INSTALAÇÃO</t>
  </si>
  <si>
    <t>JOELHO 90 GRAUS, PVC, SOLDÁVEL, DN 40MM, INSTALADO EM RAMAL DE DISTRIBUIÇÃO DE ÁGUA - FORNECIMENTO E INSTALAÇÃO</t>
  </si>
  <si>
    <t>JOELHO 90 GRAUS, PVC, SOLDÁVEL, DN 25MM, INSTALADO EM RAMAL OU SUB-RAMAL DE ÁGUA - FORNECIMENTO E INSTALAÇÃO</t>
  </si>
  <si>
    <t>JOELHO 90 GRAUS, PVC, SOLDÁVEL, DN 32MM, INSTALADO EM RAMAL OU SUB-RAMAL DE ÁGUA - FORNECIMENTO E INSTALAÇÃO</t>
  </si>
  <si>
    <t>JOELHO 45 GRAUS, PVC, SOLDÁVEL, DN 32MM, INSTALADO EM RAMAL OU SUB-RAMAL DE ÁGUA - FORNECIMENTO E INSTALAÇÃO</t>
  </si>
  <si>
    <t>JOELHO 45 GRAUS, PVC, SOLDÁVEL, DN 25MM, INSTALADO EM RAMAL OU SUB-RAMAL DE ÁGUA - FORNECIMENTO E INSTALAÇÃO</t>
  </si>
  <si>
    <t>JOELHO 90 GRAUS COM BUCHA DE LATÃO, PVC, SOLDÁVEL, DN 25MM, X 3/4 INSTALADO EM RAMAL OU SUB-RAMAL DE ÁGUA - FORNECIMENTO E INSTALAÇÃO</t>
  </si>
  <si>
    <t>TÊ COM BUCHA DE LATÃO NA BOLSA CENTRAL, PVC, SOLDÁVEL, DN 25MM X 1/2 , INSTALADO EM RAMAL OU SUB-RAMAL DE ÁGUA - FORNECIMENTO E INSTALAÇÃO</t>
  </si>
  <si>
    <t>REGISTRO DE GAVETA BRUTO, LATÃO, ROSCÁVEL, 1 1/4", COM ACABAMENTO E CANOPLA CROMADOS - FORNECIMENTO E INSTALAÇÃO</t>
  </si>
  <si>
    <t>REGISTRO DE GAVETA BRUTO, LATÃO, ROSCÁVEL, 1", COM ACABAMENTO E CANOPLA CROMADOS - FORNECIMENTO E INSTALAÇÃO</t>
  </si>
  <si>
    <t>REGISTRO DE GAVETA BRUTO, LATÃO, ROSCÁVEL, 3/4", COM ACABAMENTO E CANOPLA CROMADOS - FORNECIMENTO E INSTALAÇÃO</t>
  </si>
  <si>
    <t>LUVA DE REDUÇÃO, PVC, SOLDÁVEL, DN 32MM X 25MM, INSTALADO EM RAMAL OU SUB-RAMAL DE ÁGUA - FORNECIMENTO E INSTALAÇÃO</t>
  </si>
  <si>
    <t>LUVA DE REDUÇÃO, PVC, SOLDÁVEL, DN 40MM X 32MM, INSTALADO EM RAMAL DE DISTRIBUIÇÃO DE ÁGUA - FORNECIMENTO E INSTALAÇÃO</t>
  </si>
  <si>
    <t>89433A</t>
  </si>
  <si>
    <t>LUVA DE REDUÇÃO, PVC, SOLDÁVEL, DN 40MM X 25MM, INSTALADO EM RAMAL DE DISTRIBUIÇÃO DE ÁGUA - FORNECIMENTO E INSTALAÇÃO</t>
  </si>
  <si>
    <t>BUCHA DE REDUÇÃO, CURTA, PVC, SOLDÁVEL, DN 25 X 20 MM, INSTALADO EM RAMAL OU SUB-RAMAL DE ÁGUA - FORNECIMENTO E INSTALAÇÃO</t>
  </si>
  <si>
    <t>TE, PVC, SOLDÁVEL, DN 25MM, INSTALADO EM RAMAL OU SUB-RAMAL DE ÁGUA - FORNECIMENTO E INSTALAÇÃO</t>
  </si>
  <si>
    <t>TE, PVC, SOLDÁVEL, DN 40MM, INSTALADO EM RAMAL DE DISTRIBUIÇÃO DE ÁGUA - FORNECIMENTO E INSTALAÇÃO</t>
  </si>
  <si>
    <t>TE, PVC, SOLDÁVEL, DN 32MM, INSTALADO EM RAMAL OU SUB-RAMAL DE ÁGUA - FORNECIMENTO E INSTALAÇÃO</t>
  </si>
  <si>
    <t>REGISTRO DE PRESSÃO BRUTO, LATÃO, ROSCÁVEL, 3/4", COM ACABAMENTO E CANOPLA CROMADOS - FORNECIMENTO E INSTALAÇÃO</t>
  </si>
  <si>
    <t>INSTALAÇÕES DE ESGOTO</t>
  </si>
  <si>
    <t>TERMINAL DE VENTILAÇÃO, PVC, SÉRIE NORMAL, ESGOTO PREDIAL, DN 50 MM, JUNTA SOLDÁVEL, FORNECIDO E INSTALADO EM PRUMADA DE ESGOTO SANITÁRIO OU VENTILAÇÃO</t>
  </si>
  <si>
    <t>TUBO PVC, SERIE NORMAL, ESGOTO PREDIAL, DN 50 MM, FORNECIDO E INSTALADO EM PRUMADA DE ESGOTO SANITÁRIO OU VENTILAÇÃO</t>
  </si>
  <si>
    <t>CAIXA DE PASSAGEM</t>
  </si>
  <si>
    <t>TERMINAL DE VENTILAÇÃO</t>
  </si>
  <si>
    <t>CAIXA ENTERRADA HIDRÁULICA RETANGULAR, EM ALVENARIA COM BLOCOS DE CONCRETO, DIMENSÕES INTERNAS: 0,8X0,8X0,6 M PARA REDE DE ESGOTO</t>
  </si>
  <si>
    <t>CAIXA ENTERRADA HIDRÁULICA RETANGULAR, EM ALVENARIA COM BLOCOS DE CONCRETO, DIMENSÕES INTERNAS: 0,6X0,6X0,6 M (CAIXA DE GORDURA)</t>
  </si>
  <si>
    <t>ACESSÓRIOS</t>
  </si>
  <si>
    <t>CAIXA SIFONADA, PVC, DN 100 X 100 X 50 MM, JUNTA ELÁSTICA, FORNECIDA E INSTALADA EM RAMAL DE DESCARGA OU EM RAMAL DE ESGOTO SANITÁRIO</t>
  </si>
  <si>
    <t>RALO SIFONADO, PVC, DN 100 X 40 MM, JUNTA SOLDÁVEL, FORNECIDO E INSTALADO EM RAMAL DE DESCARGA OU EM RAMAL DE ESGOTO SANITÁRIO</t>
  </si>
  <si>
    <t>86882A                          I-6149</t>
  </si>
  <si>
    <t>86882A                          I-6150</t>
  </si>
  <si>
    <t>SIFÃO DO TIPO GARRAFA/COPO EM PVC 1" X 1.1/2" - FORNECIMENTO E INSTALAÇÃO</t>
  </si>
  <si>
    <t>SIFÃO DO TIPO GARRAFA/COPO EM METAL CROMADO 1" X 2" - FORNECIMENTO E INSTALAÇÃO</t>
  </si>
  <si>
    <t>SIFÃO FLEXÍVEL PARA MICTÓRIO 1.1/4" X 2" - FORNECIMENTO E INSTALAÇÃO</t>
  </si>
  <si>
    <r>
      <t xml:space="preserve">VÁLVULA EM PLÁSTICO 1" PARA </t>
    </r>
    <r>
      <rPr>
        <strike/>
        <sz val="11"/>
        <color rgb="FF000000"/>
        <rFont val="Calibri"/>
        <family val="2"/>
      </rPr>
      <t>PIA</t>
    </r>
    <r>
      <rPr>
        <sz val="11"/>
        <color rgb="FF000000"/>
        <rFont val="Calibri"/>
        <family val="2"/>
      </rPr>
      <t>, TANQUE OU LAVATÓRIO, COM OU SEM LADRÃO - FORNECIMENTO E INSTALAÇÃO</t>
    </r>
  </si>
  <si>
    <t>BUCHA DE REDUÇÃO LONGA, PVC, SERIE R, ÁGUA PLUVIAL, DN 50 X 40 MM, JUNTA ELÁSTICA, FORNECIDO E INSTALADO EM RAMAL DE ENCAMINHAMENTO</t>
  </si>
  <si>
    <t>CURVA CURTA 90 GRAUS, PVC, SERIE NORMAL, ESGOTO PREDIAL, DN 40 MM, JUNTA SOLDÁVEL, FORNECIDO E INSTALADO EM RAMAL DE DESCARGA OU RAMAL DE ESGOTO SANITÁRIO</t>
  </si>
  <si>
    <t>CURVA CURTA 90 GRAUS, PVC, SERIE NORMAL, ESGOTO PREDIAL, DN 50 MM, JUNTA ELÁSTICA, FORNECIDO E INSTALADO EM RAMAL DE DESCARGA OU RAMAL DE ESGOTO SANITÁRIO</t>
  </si>
  <si>
    <t>CURVA CURTA 90 GRAUS, PVC, SERIE NORMAL, ESGOTO PREDIAL, DN 100 MM, JUNTA ELÁSTICA, FORNECIDO E INSTALADO EM RAMAL DE DESCARGA OU RAMAL DE ESGOTO SANITÁRIO</t>
  </si>
  <si>
    <t>JOELHO 45 GRAUS, PVC, SERIE NORMAL, ESGOTO PREDIAL, DN 100 MM, JUNTA ELÁSTICA, FORNECIDO E INSTALADO EM RAMAL DE DESCARGA OU RAMAL DE ESGOTO SANITÁRIO</t>
  </si>
  <si>
    <t>JOELHO 45 GRAUS, PVC, SERIE NORMAL, ESGOTO PREDIAL, DN 40 MM, JUNTA SOLDÁVEL, FORNECIDO E INSTALADO EM RAMAL DE DESCARGA OU RAMAL DE ESGOTO SANITÁRIO</t>
  </si>
  <si>
    <t>JOELHO 45 GRAUS, PVC, SERIE NORMAL, ESGOTO PREDIAL, DN 50 MM, JUNTA ELÁSTICA, FORNECIDO E INSTALADO EM RAMAL DE DESCARGA OU RAMAL DE ESGOTO SANITÁRIO</t>
  </si>
  <si>
    <t>JOELHO 90 GRAUS, PVC, SERIE NORMAL, ESGOTO PREDIAL, DN 40 MM, JUNTA SOLDÁVEL, FORNECIDO E INSTALADO EM RAMAL DE DESCARGA OU RAMAL DE ESGOTO SANITÁRIO</t>
  </si>
  <si>
    <t>JOELHO 90 GRAUS, PVC, SERIE NORMAL, ESGOTO PREDIAL, DN 50 MM, JUNTA ELÁSTICA, FORNECIDO E INSTALADO EM RAMAL DE DESCARGA OU RAMAL DE ESGOTO SANITÁRIO</t>
  </si>
  <si>
    <t>JOELHO 90 COM ANEL P/ ESGOTO SECUNDÁRIO 40MM X 1.1/2"</t>
  </si>
  <si>
    <t>JUNÇÃO SIMPLES, PVC, SERIE R, ÁGUA PLUVIAL, DN 100 X 50 MM, JUNTA ELÁSTICA, FORNECIDO E INSTALADO EM RAMAL DE ENCAMINHAMENTO</t>
  </si>
  <si>
    <t>89569A                             I-20085</t>
  </si>
  <si>
    <t>JUNÇÃO SIMPLES, PVC, SERIE R, ÁGUA PLUVIAL, DN 100 X 100 MM, JUNTA ELÁSTICA, FORNECIDO E INSTALADO EM RAMAL DE ENCAMINHAMENTO</t>
  </si>
  <si>
    <t>JUNÇÃO SIMPLES, PVC, SERIE NORMAL, ESGOTO PREDIAL, DN 40 MM, JUNTA SOLDÁVEL, FORNECIDO E INSTALADO EM RAMAL DE DESCARGA OU RAMAL DE ESGOTO SANITÁRIO</t>
  </si>
  <si>
    <t>JUNÇÃO SIMPLES, PVC, SERIE NORMAL, ESGOTO PREDIAL, DN 50 X 50 MM, JUNTA ELÁSTICA, FORNECIDO E INSTALADO EM RAMAL DE DESCARGA OU RAMAL DE ESGOTO SANITÁRIO</t>
  </si>
  <si>
    <t>LUVA SIMPLES, PVC, SERIE NORMAL, ESGOTO PREDIAL, DN 50 MM, JUNTA ELÁSTICA, FORNECIDO E INSTALADO EM RAMAL DE DESCARGA OU RAMAL DE ESGOTO SANITÁRIO</t>
  </si>
  <si>
    <t>LUVA SIMPLES, PVC, SERIE NORMAL, ESGOTO PREDIAL, DN 100 MM, JUNTA ELÁSTICA, FORNECIDO E INSTALADO EM RAMAL DE DESCARGA OU RAMAL DE ESGOTO SANITÁRIO</t>
  </si>
  <si>
    <t>TUBO PVC, SERIE NORMAL, ESGOTO PREDIAL, DN 100 MM, FORNECIDO E INSTALADO EM RAMAL DE DESCARGA OU RAMAL DE ESGOTO SANITÁRIO</t>
  </si>
  <si>
    <t>TUBO PVC, SERIE NORMAL, ESGOTO PREDIAL, DN 40 MM, FORNECIDO E INSTALADO EM RAMAL DE DESCARGA OU RAMAL DE ESGOTO SANITÁRIO</t>
  </si>
  <si>
    <t>TUBO PVC, SERIE NORMAL, ESGOTO PREDIAL, DN 50 MM, FORNECIDO E INSTALADO EM RAMAL DE DESCARGA OU RAMAL DE ESGOTO SANITÁRIO</t>
  </si>
  <si>
    <t>TE, PVC, SERIE NORMAL, ESGOTO PREDIAL, DN 50 X 50 MM, JUNTA ELÁSTICA, FORNECIDO E INSTALADO EM RAMAL DE DESCARGA OU RAMAL DE ESGOTO SANITÁRIO</t>
  </si>
  <si>
    <t>12.1</t>
  </si>
  <si>
    <t>12.2</t>
  </si>
  <si>
    <t>12.1.1</t>
  </si>
  <si>
    <t>12.2.1</t>
  </si>
  <si>
    <t>12.2.2</t>
  </si>
  <si>
    <t>12.3</t>
  </si>
  <si>
    <t>12.3.1</t>
  </si>
  <si>
    <t>12.1.2</t>
  </si>
  <si>
    <t>12.3.2</t>
  </si>
  <si>
    <t>12.3.3</t>
  </si>
  <si>
    <t>12.3.4</t>
  </si>
  <si>
    <t>12.3.5</t>
  </si>
  <si>
    <t>12.3.6</t>
  </si>
  <si>
    <t>12.3.7</t>
  </si>
  <si>
    <t>12.3.8</t>
  </si>
  <si>
    <t>12.3.9</t>
  </si>
  <si>
    <t>12.3.10</t>
  </si>
  <si>
    <t>12.3.11</t>
  </si>
  <si>
    <t>12.3.12</t>
  </si>
  <si>
    <t>12.3.13</t>
  </si>
  <si>
    <t>12.3.14</t>
  </si>
  <si>
    <t>12.3.15</t>
  </si>
  <si>
    <t>12.3.16</t>
  </si>
  <si>
    <t>12.3.17</t>
  </si>
  <si>
    <t>12.3.18</t>
  </si>
  <si>
    <t>12.3.19</t>
  </si>
  <si>
    <t>12.3.20</t>
  </si>
  <si>
    <t>12.3.21</t>
  </si>
  <si>
    <t>12.3.22</t>
  </si>
  <si>
    <t>12.3.23</t>
  </si>
  <si>
    <t>12.3.24</t>
  </si>
  <si>
    <t>12.3.25</t>
  </si>
  <si>
    <t>12.3.26</t>
  </si>
  <si>
    <t>12.3.27</t>
  </si>
  <si>
    <t>13.1</t>
  </si>
  <si>
    <t>13.1.1</t>
  </si>
  <si>
    <t>13.1.2</t>
  </si>
  <si>
    <t>13.1.3</t>
  </si>
  <si>
    <t>13.1.4</t>
  </si>
  <si>
    <t>13.1.5</t>
  </si>
  <si>
    <t>13.1.6</t>
  </si>
  <si>
    <t>13.1.7</t>
  </si>
  <si>
    <t>13.1.8</t>
  </si>
  <si>
    <t>13.1.9</t>
  </si>
  <si>
    <t>13.1.10</t>
  </si>
  <si>
    <t>13.1.11</t>
  </si>
  <si>
    <t>13.1.12</t>
  </si>
  <si>
    <t>13.1.13</t>
  </si>
  <si>
    <t>13.1.14</t>
  </si>
  <si>
    <t>13.1.15</t>
  </si>
  <si>
    <t>13.1.16</t>
  </si>
  <si>
    <t>13.1.17</t>
  </si>
  <si>
    <t>13.1.18</t>
  </si>
  <si>
    <t>13.1.19</t>
  </si>
  <si>
    <t>13.1.20</t>
  </si>
  <si>
    <t>13.1.21</t>
  </si>
  <si>
    <t>13.1.22</t>
  </si>
  <si>
    <t>13.1.23</t>
  </si>
  <si>
    <t>13.1.24</t>
  </si>
  <si>
    <t>13.1.25</t>
  </si>
  <si>
    <t>13.1.26</t>
  </si>
  <si>
    <t>13.1.27</t>
  </si>
  <si>
    <t>13.1.28</t>
  </si>
  <si>
    <t>13.1.29</t>
  </si>
  <si>
    <t>13.1.30</t>
  </si>
  <si>
    <t>13.1.31</t>
  </si>
  <si>
    <t>13.1.32</t>
  </si>
  <si>
    <t>13.1.33</t>
  </si>
  <si>
    <t>13.2</t>
  </si>
  <si>
    <t>13.2.1</t>
  </si>
  <si>
    <t>13.2.2</t>
  </si>
  <si>
    <t>13.2.3</t>
  </si>
  <si>
    <t>13.2.4</t>
  </si>
  <si>
    <t>13.2.5</t>
  </si>
  <si>
    <t>13.2.6</t>
  </si>
  <si>
    <t>13.2.7</t>
  </si>
  <si>
    <t>13.2.8</t>
  </si>
  <si>
    <t>13.2.9</t>
  </si>
  <si>
    <t>13.2.10</t>
  </si>
  <si>
    <t>13.2.11</t>
  </si>
  <si>
    <t>13.2.12</t>
  </si>
  <si>
    <t>13.2.13</t>
  </si>
  <si>
    <t>13.2.14</t>
  </si>
  <si>
    <t>13.2.15</t>
  </si>
  <si>
    <t>13.2.16</t>
  </si>
  <si>
    <t>13.2.17</t>
  </si>
  <si>
    <t>13.2.18</t>
  </si>
  <si>
    <t>13.2.19</t>
  </si>
  <si>
    <t>13.2.20</t>
  </si>
  <si>
    <t>13.2.21</t>
  </si>
  <si>
    <t>13.2.22</t>
  </si>
  <si>
    <t>13.2.23</t>
  </si>
  <si>
    <t>13.2.24</t>
  </si>
  <si>
    <t>13.2.25</t>
  </si>
  <si>
    <t>13.2.26</t>
  </si>
  <si>
    <t>13.2.27</t>
  </si>
  <si>
    <t>13.2.28</t>
  </si>
  <si>
    <t>13.2.29</t>
  </si>
  <si>
    <t>13.2.30</t>
  </si>
  <si>
    <t>13.2.31</t>
  </si>
  <si>
    <t>13.2.32</t>
  </si>
  <si>
    <t>13.2.33</t>
  </si>
  <si>
    <t>13.2.34</t>
  </si>
  <si>
    <t>13.2.35</t>
  </si>
  <si>
    <t>13.2.36</t>
  </si>
  <si>
    <t>13.3</t>
  </si>
  <si>
    <t>13.3.1</t>
  </si>
  <si>
    <t>13.3.2</t>
  </si>
  <si>
    <t>13.3.3</t>
  </si>
  <si>
    <t>13.3.4</t>
  </si>
  <si>
    <t>13.3.5</t>
  </si>
  <si>
    <t>13.3.6</t>
  </si>
  <si>
    <t>13.3.7</t>
  </si>
  <si>
    <t>13.3.8</t>
  </si>
  <si>
    <t>13.3.9</t>
  </si>
  <si>
    <t>13.3.10</t>
  </si>
  <si>
    <t>13.3.11</t>
  </si>
  <si>
    <t>13.3.12</t>
  </si>
  <si>
    <t>13.3.13</t>
  </si>
  <si>
    <t>13.3.14</t>
  </si>
  <si>
    <t>13.3.15</t>
  </si>
  <si>
    <t>13.3.16</t>
  </si>
  <si>
    <t>13.3.17</t>
  </si>
  <si>
    <t>13.3.18</t>
  </si>
  <si>
    <t>13.3.19</t>
  </si>
  <si>
    <t>13.3.20</t>
  </si>
  <si>
    <t>13.3.21</t>
  </si>
  <si>
    <t>13.3.22</t>
  </si>
  <si>
    <t>13.3.23</t>
  </si>
  <si>
    <t>13.3.24</t>
  </si>
  <si>
    <t>13.3.25</t>
  </si>
  <si>
    <t>13.3.26</t>
  </si>
  <si>
    <t>13.3.27</t>
  </si>
  <si>
    <t>13.3.28</t>
  </si>
  <si>
    <t>13.3.29</t>
  </si>
  <si>
    <t>13.3.30</t>
  </si>
  <si>
    <t>13.3.31</t>
  </si>
  <si>
    <t>13.3.32</t>
  </si>
  <si>
    <t>13.3.33</t>
  </si>
  <si>
    <t>13.3.34</t>
  </si>
  <si>
    <t>13.3.35</t>
  </si>
  <si>
    <t>13.3.36</t>
  </si>
  <si>
    <t>13.3.37</t>
  </si>
  <si>
    <t>13.3.38</t>
  </si>
  <si>
    <t>13.3.39</t>
  </si>
  <si>
    <t>13.3.40</t>
  </si>
  <si>
    <t>13.3.41</t>
  </si>
  <si>
    <t>13.3.42</t>
  </si>
  <si>
    <t>13.3.43</t>
  </si>
  <si>
    <t>13.3.44</t>
  </si>
  <si>
    <t>13.3.45</t>
  </si>
  <si>
    <t>13.3.46</t>
  </si>
  <si>
    <t>13.3.47</t>
  </si>
  <si>
    <t>13.3.48</t>
  </si>
  <si>
    <t>13.3.49</t>
  </si>
  <si>
    <t>13.3.50</t>
  </si>
  <si>
    <t>13.3.51</t>
  </si>
  <si>
    <t>13.4</t>
  </si>
  <si>
    <t>13.4.1</t>
  </si>
  <si>
    <t>13.4.2</t>
  </si>
  <si>
    <t>13.4.3</t>
  </si>
  <si>
    <t>13.4.4</t>
  </si>
  <si>
    <t>13.4.5</t>
  </si>
  <si>
    <t>13.4.6</t>
  </si>
  <si>
    <t>13.4.7</t>
  </si>
  <si>
    <t>13.4.8</t>
  </si>
  <si>
    <t>13.4.9</t>
  </si>
  <si>
    <t>13.4.10</t>
  </si>
  <si>
    <t>13.4.11</t>
  </si>
  <si>
    <t>13.4.12</t>
  </si>
  <si>
    <t>13.4.13</t>
  </si>
  <si>
    <t>13.4.14</t>
  </si>
  <si>
    <t>13.4.15</t>
  </si>
  <si>
    <t>13.4.16</t>
  </si>
  <si>
    <t>13.4.17</t>
  </si>
  <si>
    <t>13.4.18</t>
  </si>
  <si>
    <t>13.4.19</t>
  </si>
  <si>
    <t>13.4.20</t>
  </si>
  <si>
    <t>13.4.21</t>
  </si>
  <si>
    <t>13.4.22</t>
  </si>
  <si>
    <t>13.4.23</t>
  </si>
  <si>
    <t>13.4.24</t>
  </si>
  <si>
    <t>13.4.25</t>
  </si>
  <si>
    <t>13.5</t>
  </si>
  <si>
    <t>13.5.1</t>
  </si>
  <si>
    <t>13.5.2</t>
  </si>
  <si>
    <t>13.5.3</t>
  </si>
  <si>
    <t>13.5.4</t>
  </si>
  <si>
    <t>13.5.5</t>
  </si>
  <si>
    <t>13.5.6</t>
  </si>
  <si>
    <t>13.5.7</t>
  </si>
  <si>
    <t>13.5.8</t>
  </si>
  <si>
    <t>13.5.9</t>
  </si>
  <si>
    <t>13.5.10</t>
  </si>
  <si>
    <t>13.5.11</t>
  </si>
  <si>
    <t>13.5.12</t>
  </si>
  <si>
    <t>13.5.13</t>
  </si>
  <si>
    <t>13.5.14</t>
  </si>
  <si>
    <t>13.5.15</t>
  </si>
  <si>
    <t>13.5.16</t>
  </si>
  <si>
    <t>13.5.17</t>
  </si>
  <si>
    <t>13.5.18</t>
  </si>
  <si>
    <t>13.5.19</t>
  </si>
  <si>
    <t>13.5.20</t>
  </si>
  <si>
    <t>13.5.21</t>
  </si>
  <si>
    <t>13.5.22</t>
  </si>
  <si>
    <t>13.5.23</t>
  </si>
  <si>
    <t>13.5.24</t>
  </si>
  <si>
    <t>13.5.25</t>
  </si>
  <si>
    <t>13.5.26</t>
  </si>
  <si>
    <t>13.5.27</t>
  </si>
  <si>
    <t>13.5.28</t>
  </si>
  <si>
    <t>13.5.29</t>
  </si>
  <si>
    <t>13.5.30</t>
  </si>
  <si>
    <t>13.5.31</t>
  </si>
  <si>
    <t>13.5.32</t>
  </si>
  <si>
    <t>13.5.33</t>
  </si>
  <si>
    <t>13.5.34</t>
  </si>
  <si>
    <t>13.5.35</t>
  </si>
  <si>
    <t>13.5.36</t>
  </si>
  <si>
    <t>13.5.37</t>
  </si>
  <si>
    <t>13.5.38</t>
  </si>
  <si>
    <t>13.5.39</t>
  </si>
  <si>
    <t>13.5.40</t>
  </si>
  <si>
    <t>13.5.41</t>
  </si>
  <si>
    <t>13.5.42</t>
  </si>
  <si>
    <t>13.5.43</t>
  </si>
  <si>
    <t>13.5.44</t>
  </si>
  <si>
    <t>13.5.45</t>
  </si>
  <si>
    <t>13.5.46</t>
  </si>
  <si>
    <t>13.5.47</t>
  </si>
  <si>
    <t>13.5.48</t>
  </si>
  <si>
    <t>13.5.49</t>
  </si>
  <si>
    <t>13.5.50</t>
  </si>
  <si>
    <t>13.6</t>
  </si>
  <si>
    <t>13.6.1</t>
  </si>
  <si>
    <t>13.6.2</t>
  </si>
  <si>
    <t>13.6.3</t>
  </si>
  <si>
    <t>13.6.4</t>
  </si>
  <si>
    <t>13.6.5</t>
  </si>
  <si>
    <t>13.6.6</t>
  </si>
  <si>
    <t>13.6.7</t>
  </si>
  <si>
    <t>13.6.8</t>
  </si>
  <si>
    <t>13.6.9</t>
  </si>
  <si>
    <t>13.6.10</t>
  </si>
  <si>
    <t>13.6.11</t>
  </si>
  <si>
    <t>13.6.12</t>
  </si>
  <si>
    <t>13.6.13</t>
  </si>
  <si>
    <t>13.6.14</t>
  </si>
  <si>
    <t>13.6.15</t>
  </si>
  <si>
    <t>13.6.16</t>
  </si>
  <si>
    <t>13.6.17</t>
  </si>
  <si>
    <t>13.6.18</t>
  </si>
  <si>
    <t>13.6.19</t>
  </si>
  <si>
    <t>13.6.20</t>
  </si>
  <si>
    <t>13.6.21</t>
  </si>
  <si>
    <t>13.6.22</t>
  </si>
  <si>
    <t>13.6.23</t>
  </si>
  <si>
    <t>13.6.24</t>
  </si>
  <si>
    <t>13.6.25</t>
  </si>
  <si>
    <t>13.7</t>
  </si>
  <si>
    <t>13.7.1</t>
  </si>
  <si>
    <t>13.7.2</t>
  </si>
  <si>
    <t>13.7.3</t>
  </si>
  <si>
    <t>13.7.4</t>
  </si>
  <si>
    <t>13.7.5</t>
  </si>
  <si>
    <t>13.7.6</t>
  </si>
  <si>
    <t>13.7.7</t>
  </si>
  <si>
    <t>13.7.8</t>
  </si>
  <si>
    <t>13.7.9</t>
  </si>
  <si>
    <t>13.7.10</t>
  </si>
  <si>
    <t>13.7.11</t>
  </si>
  <si>
    <t>13.7.12</t>
  </si>
  <si>
    <t>13.7.13</t>
  </si>
  <si>
    <t>13.7.14</t>
  </si>
  <si>
    <t>13.7.15</t>
  </si>
  <si>
    <t>13.7.16</t>
  </si>
  <si>
    <t>13.7.17</t>
  </si>
  <si>
    <t>13.7.18</t>
  </si>
  <si>
    <t>13.7.19</t>
  </si>
  <si>
    <t>13.7.20</t>
  </si>
  <si>
    <t>13.7.21</t>
  </si>
  <si>
    <t>13.7.22</t>
  </si>
  <si>
    <t>13.7.23</t>
  </si>
  <si>
    <t>13.7.24</t>
  </si>
  <si>
    <t>13.7.25</t>
  </si>
  <si>
    <t>MÊS</t>
  </si>
  <si>
    <t xml:space="preserve">ENCARREGADO GERAL DE OBRAS COM ENCARGOS COMPLEMENTARES </t>
  </si>
  <si>
    <t>93572A</t>
  </si>
  <si>
    <t>LDI DESONERADO</t>
  </si>
  <si>
    <t>ED-29482</t>
  </si>
  <si>
    <t>ED-48176</t>
  </si>
  <si>
    <t>PINTURA LÁTEX ACRÍLICA PREMIUM, APLICAÇÃO MANUAL EM TETO, DUAS DEMÃOS</t>
  </si>
  <si>
    <t>ALVENARIA DE VEDAÇÃO DE BLOCOS CERÂMICOS FURADOS NA HORIZONTAL DE 14X9X19 CM (ESPESSURA 14 CM, BLOCO DEITADO) E ARGAMASSA DE ASSENTAMENTO COM PREPARO EM BETONEIRA</t>
  </si>
  <si>
    <t>10.5</t>
  </si>
  <si>
    <t>PINTURA DE PISO COM TINTA EPÓXI, APLICAÇÃO MANUAL, 2 DEMÃOS, INCLUSO PRIMER EPÓXI (SINALIZAÇÃO DE PISO NAS CORES: VERMELHA E AMARELA)</t>
  </si>
  <si>
    <t>LISTA DE MATERIAIS CAIXA D'ÁGUA</t>
  </si>
  <si>
    <t>ADAPTADOR COM FLANGES LIVRES, PVC, SOLDÁVEL, DN 40 MM X 1 1/4 , INSTALADO EM RESERVAÇÃO DE ÁGUA DE EDIFICAÇÃO - FORNECIMENTO E INSTALAÇÃO</t>
  </si>
  <si>
    <t>LISTA DE MATERIAIS (X)</t>
  </si>
  <si>
    <t>11.8</t>
  </si>
  <si>
    <t>11.8.1</t>
  </si>
  <si>
    <t>11.8.2</t>
  </si>
  <si>
    <t>KIT CAVALETE PARA MEDIÇÃO DE ÁGUA - ENTRADA PRINCIPAL, EM PVC SOLDÁVEL DN 25 (¾") FORNECIMENTO E INSTALAÇÃO (EXCLUSIVE HIDRÔMETRO)</t>
  </si>
  <si>
    <t>MEDIÇÃO DE ÁGUA</t>
  </si>
  <si>
    <t>HIDRÔMETRO DN 25 (¾), 5,0 M³/H - FORNECIMENTO E INSTALAÇÃO</t>
  </si>
  <si>
    <t>VENTILADOR DE TETO COM ILUMINAÇÃO, INCLUSIVE CHAVE DE ACIONAMENTO, CAPACITOR E ACABAMENTO DA TOMADA</t>
  </si>
  <si>
    <t>TOMADA MÉDIA DE EMBUTIR (2 MÓDULOS), 2P+T 10 A, INCLUINDO SUPORTE E PLACA - FORNECIMENTO E INSTALAÇÃO</t>
  </si>
  <si>
    <t>9.41</t>
  </si>
  <si>
    <t>TOMADA BAIXA DE EMBUTIR (1 MÓDULO), 2P+T 10 A, INCLUINDO SUPORTE E PLACA - FORNECIMENTO E INSTALAÇÃO</t>
  </si>
  <si>
    <t>TOMADA MÉDIA DE EMBUTIR (1 MÓDULO), 2P+T 10 A, INCLUINDO SUPORTE E PLACA - FORNECIMENTO E INSTALAÇÃO</t>
  </si>
  <si>
    <t>DISPOSITIVO DR, 2 POLOS, SENSIBILIDADE DE 30 MA, CORRENTE DE (20 A), TIPO AC</t>
  </si>
  <si>
    <r>
      <t>DISPOSITIVO DR, 2 POLOS, SENSIBILIDADE DE 30 MA, CORRENTE DE (32 A)</t>
    </r>
    <r>
      <rPr>
        <sz val="11"/>
        <color rgb="FF000000"/>
        <rFont val="Calibri"/>
        <family val="2"/>
      </rPr>
      <t>, TIPO AC</t>
    </r>
  </si>
  <si>
    <r>
      <t>DISPOSITIVO DR, (3 POLOS)</t>
    </r>
    <r>
      <rPr>
        <sz val="11"/>
        <color rgb="FF000000"/>
        <rFont val="Calibri"/>
        <family val="2"/>
      </rPr>
      <t>, SENSIBILIDADE DE 30 MA, CORRENTE DE 40 A, TIPO AC</t>
    </r>
  </si>
  <si>
    <t>TAPUME COM TELHA METÁLICA</t>
  </si>
  <si>
    <t>FORNECIMENTO E INSTALAÇÃO DE PLACA DE OBRA COM CHAPA GALVANIZADA, ADESIVADA, DE 2,4 X 1,2 M E ESTRUTURA DE MADEIRA</t>
  </si>
  <si>
    <t>ED-50150</t>
  </si>
  <si>
    <t>ED-50151</t>
  </si>
  <si>
    <t>LIGAÇÃO PROVISÓRIA COM ENTRADA DE ENERGIA AÉREA, PADRÃO CEMIG, CARGA INSTALADA DE 15,1KVA ATÉ 30KVA, TRIFÁSICO, COM SAÍDA SUBTERRÂNEA, INCLUSIVE POSTE, CAIXA PARA MEDIDOR, DISJUNTOR, BARRAMENTO, ATERRAMENTO E ACESSÓRIOS</t>
  </si>
  <si>
    <t>ED-48340</t>
  </si>
  <si>
    <t xml:space="preserve">I-37558      95544                           </t>
  </si>
  <si>
    <t>94785A                   I-98</t>
  </si>
  <si>
    <t>89724A          10835</t>
  </si>
  <si>
    <t>98685A</t>
  </si>
  <si>
    <t>VALOR TOTAL COM LDI DESONERADO = 25,00%</t>
  </si>
  <si>
    <t>92029A                    I-38102</t>
  </si>
  <si>
    <t>SINAPI 06/2023 SETOP 04/2023</t>
  </si>
  <si>
    <t>COTAÇÃO     100906</t>
  </si>
  <si>
    <r>
      <rPr>
        <b/>
        <sz val="11"/>
        <rFont val="Calibri"/>
        <family val="2"/>
      </rPr>
      <t xml:space="preserve">   </t>
    </r>
    <r>
      <rPr>
        <sz val="11"/>
        <rFont val="Calibri"/>
        <family val="2"/>
      </rPr>
      <t>COTAÇÃO      101548</t>
    </r>
  </si>
  <si>
    <t>COTAÇÃO 86883A</t>
  </si>
  <si>
    <r>
      <t xml:space="preserve">VÁLVULA EM PLÁSTICO 1" PARA PIA, </t>
    </r>
    <r>
      <rPr>
        <sz val="11"/>
        <color rgb="FF000000"/>
        <rFont val="Calibri"/>
        <family val="2"/>
      </rPr>
      <t>COM OU SEM LADRÃO - FORNECIMENTO E INSTALAÇÃO</t>
    </r>
  </si>
  <si>
    <t>Item</t>
  </si>
  <si>
    <t>Descrição</t>
  </si>
  <si>
    <t>Total (R$)</t>
  </si>
  <si>
    <t>Início</t>
  </si>
  <si>
    <t>1.º Mês</t>
  </si>
  <si>
    <t>2.º Mês</t>
  </si>
  <si>
    <t>3.º Mês</t>
  </si>
  <si>
    <t>4.º Mês</t>
  </si>
  <si>
    <t>5.º Mês</t>
  </si>
  <si>
    <t>6.º Mês</t>
  </si>
  <si>
    <t>7.º Mês</t>
  </si>
  <si>
    <t>8.º Mês</t>
  </si>
  <si>
    <t>Totais</t>
  </si>
  <si>
    <t>Físico</t>
  </si>
  <si>
    <t>%</t>
  </si>
  <si>
    <t>R$</t>
  </si>
  <si>
    <t>VALOR TOTAL COM BDI</t>
  </si>
  <si>
    <t>PERCENTUAL MENSAL - %</t>
  </si>
  <si>
    <t>TOTAL MENSAL - R$</t>
  </si>
  <si>
    <t>TOTAL MENSAL ACUMULADO - R$</t>
  </si>
  <si>
    <t>PERCENTUAL TOTAL ACUMULADO - %</t>
  </si>
  <si>
    <t>DATA: 24/07/2023</t>
  </si>
  <si>
    <t>4</t>
  </si>
  <si>
    <t>PLANILHA ORÇAMENTÁRIA PROPONENTE</t>
  </si>
  <si>
    <t>CRONOGRAMA FÍSICO-FINANCEIRO PROPONENTE</t>
  </si>
  <si>
    <t>ADMINISTRAÇÃO DA OBRA &gt; LIMITADO A 8,87% DO VALOR TOTAL, CONFORME TCU</t>
  </si>
  <si>
    <t>CONSTRUÇÃO DAS INSTALAÇÕES DE FUNCIONÁRIOS DO MAPRO - JUIZ DE FORA /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</si>
</sst>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%"/>
    <numFmt numFmtId="165" formatCode="[$-416]0.00%"/>
    <numFmt numFmtId="166" formatCode="#,##0.00;[Red]#,##0.00"/>
    <numFmt numFmtId="167" formatCode="[$-416]#,##0.00"/>
  </numFmts>
  <fonts count="3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6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1"/>
      <color rgb="FFFF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trike/>
      <sz val="11"/>
      <color rgb="FF000000"/>
      <name val="Calibri"/>
      <family val="2"/>
    </font>
    <font>
      <b/>
      <sz val="11"/>
      <name val="Calibri"/>
      <family val="2"/>
    </font>
    <font>
      <b/>
      <sz val="10"/>
      <color rgb="FF000000"/>
      <name val="Calibri"/>
      <family val="2"/>
      <charset val="1"/>
    </font>
    <font>
      <b/>
      <sz val="11"/>
      <color theme="0"/>
      <name val="Calibri"/>
      <family val="2"/>
      <scheme val="minor"/>
    </font>
    <font>
      <sz val="11"/>
      <name val="Calibri"/>
      <family val="2"/>
    </font>
    <font>
      <b/>
      <sz val="9"/>
      <name val="Calibri"/>
      <family val="2"/>
      <charset val="1"/>
    </font>
    <font>
      <sz val="10"/>
      <name val="Arial"/>
      <family val="2"/>
      <charset val="1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9"/>
      <name val="Arial"/>
      <family val="2"/>
    </font>
    <font>
      <b/>
      <u/>
      <sz val="11"/>
      <color theme="0"/>
      <name val="Calibri"/>
      <family val="2"/>
      <scheme val="minor"/>
    </font>
    <font>
      <b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i/>
      <sz val="7.5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0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theme="7" tint="0.59999389629810485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48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26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8" fillId="0" borderId="0"/>
    <xf numFmtId="0" fontId="1" fillId="0" borderId="0"/>
    <xf numFmtId="0" fontId="22" fillId="0" borderId="0"/>
    <xf numFmtId="0" fontId="22" fillId="0" borderId="0"/>
  </cellStyleXfs>
  <cellXfs count="2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4" fontId="3" fillId="2" borderId="3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3" xfId="0" applyFont="1" applyBorder="1" applyAlignment="1">
      <alignment horizontal="right" vertical="center" wrapText="1"/>
    </xf>
    <xf numFmtId="4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" fontId="0" fillId="0" borderId="3" xfId="0" applyNumberFormat="1" applyFont="1" applyBorder="1" applyAlignment="1">
      <alignment horizontal="right" vertical="center" wrapText="1"/>
    </xf>
    <xf numFmtId="0" fontId="0" fillId="0" borderId="3" xfId="0" applyFont="1" applyBorder="1" applyAlignment="1">
      <alignment horizontal="left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 wrapText="1"/>
    </xf>
    <xf numFmtId="0" fontId="0" fillId="2" borderId="3" xfId="0" applyFont="1" applyFill="1" applyBorder="1" applyAlignment="1">
      <alignment vertical="center"/>
    </xf>
    <xf numFmtId="4" fontId="0" fillId="2" borderId="3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horizontal="center" vertical="center" wrapText="1"/>
    </xf>
    <xf numFmtId="0" fontId="0" fillId="0" borderId="3" xfId="0" applyFont="1" applyBorder="1" applyAlignment="1">
      <alignment horizontal="justify" vertical="center" wrapText="1"/>
    </xf>
    <xf numFmtId="4" fontId="0" fillId="0" borderId="3" xfId="0" applyNumberFormat="1" applyBorder="1" applyAlignment="1">
      <alignment vertical="center"/>
    </xf>
    <xf numFmtId="4" fontId="0" fillId="0" borderId="3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4" fontId="0" fillId="2" borderId="3" xfId="0" applyNumberFormat="1" applyFill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" fontId="0" fillId="2" borderId="3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4" fontId="3" fillId="3" borderId="3" xfId="0" applyNumberFormat="1" applyFont="1" applyFill="1" applyBorder="1" applyAlignment="1">
      <alignment vertical="center"/>
    </xf>
    <xf numFmtId="4" fontId="0" fillId="0" borderId="3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0" fillId="0" borderId="3" xfId="0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4" fontId="0" fillId="0" borderId="3" xfId="0" applyNumberFormat="1" applyFill="1" applyBorder="1" applyAlignment="1">
      <alignment vertical="center"/>
    </xf>
    <xf numFmtId="0" fontId="0" fillId="0" borderId="0" xfId="0" applyFill="1"/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justify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vertical="center"/>
    </xf>
    <xf numFmtId="4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/>
    <xf numFmtId="4" fontId="11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/>
    <xf numFmtId="0" fontId="10" fillId="0" borderId="0" xfId="0" applyFont="1" applyFill="1" applyAlignment="1">
      <alignment horizontal="left" vertical="center"/>
    </xf>
    <xf numFmtId="2" fontId="3" fillId="0" borderId="0" xfId="0" applyNumberFormat="1" applyFont="1" applyFill="1" applyAlignment="1">
      <alignment horizontal="right" vertical="center" wrapText="1"/>
    </xf>
    <xf numFmtId="2" fontId="11" fillId="0" borderId="0" xfId="0" applyNumberFormat="1" applyFont="1" applyFill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justify" vertical="center" wrapText="1"/>
    </xf>
    <xf numFmtId="4" fontId="11" fillId="5" borderId="3" xfId="0" applyNumberFormat="1" applyFont="1" applyFill="1" applyBorder="1" applyAlignment="1">
      <alignment vertical="center"/>
    </xf>
    <xf numFmtId="49" fontId="3" fillId="0" borderId="0" xfId="0" applyNumberFormat="1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justify" vertical="center" wrapText="1"/>
    </xf>
    <xf numFmtId="0" fontId="11" fillId="5" borderId="3" xfId="0" applyFont="1" applyFill="1" applyBorder="1" applyAlignment="1">
      <alignment vertical="center"/>
    </xf>
    <xf numFmtId="49" fontId="11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justify" vertical="center" wrapText="1"/>
    </xf>
    <xf numFmtId="4" fontId="3" fillId="5" borderId="3" xfId="0" applyNumberFormat="1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center" wrapText="1"/>
    </xf>
    <xf numFmtId="4" fontId="7" fillId="0" borderId="3" xfId="0" applyNumberFormat="1" applyFont="1" applyFill="1" applyBorder="1" applyAlignment="1">
      <alignment horizontal="right" vertical="center" wrapText="1"/>
    </xf>
    <xf numFmtId="4" fontId="7" fillId="0" borderId="3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horizontal="left" vertical="center"/>
    </xf>
    <xf numFmtId="0" fontId="13" fillId="5" borderId="3" xfId="0" applyFont="1" applyFill="1" applyBorder="1" applyAlignment="1">
      <alignment horizontal="left" vertical="center" wrapText="1"/>
    </xf>
    <xf numFmtId="4" fontId="0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4" fontId="11" fillId="0" borderId="0" xfId="0" applyNumberFormat="1" applyFont="1" applyFill="1" applyAlignment="1">
      <alignment horizontal="right" vertical="center" wrapText="1"/>
    </xf>
    <xf numFmtId="4" fontId="10" fillId="0" borderId="0" xfId="0" applyNumberFormat="1" applyFont="1" applyFill="1" applyAlignment="1">
      <alignment horizontal="right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4" fontId="0" fillId="0" borderId="0" xfId="0" applyNumberFormat="1" applyAlignment="1">
      <alignment horizontal="right" vertical="center"/>
    </xf>
    <xf numFmtId="0" fontId="0" fillId="0" borderId="3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wrapText="1"/>
    </xf>
    <xf numFmtId="4" fontId="0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5" fillId="0" borderId="0" xfId="2" applyFont="1" applyAlignment="1">
      <alignment vertical="center"/>
    </xf>
    <xf numFmtId="0" fontId="1" fillId="0" borderId="0" xfId="2" applyAlignment="1">
      <alignment vertical="center"/>
    </xf>
    <xf numFmtId="2" fontId="25" fillId="0" borderId="0" xfId="2" applyNumberFormat="1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26" fillId="0" borderId="11" xfId="3" applyFont="1" applyBorder="1" applyAlignment="1">
      <alignment horizontal="center" vertical="center" wrapText="1"/>
    </xf>
    <xf numFmtId="0" fontId="27" fillId="0" borderId="11" xfId="3" applyFont="1" applyBorder="1" applyAlignment="1">
      <alignment horizontal="center" vertical="center" wrapText="1"/>
    </xf>
    <xf numFmtId="0" fontId="26" fillId="0" borderId="12" xfId="3" applyFont="1" applyBorder="1" applyAlignment="1">
      <alignment vertical="center" wrapText="1"/>
    </xf>
    <xf numFmtId="165" fontId="28" fillId="0" borderId="13" xfId="3" applyNumberFormat="1" applyFont="1" applyBorder="1" applyAlignment="1">
      <alignment vertical="center" wrapText="1"/>
    </xf>
    <xf numFmtId="166" fontId="28" fillId="0" borderId="16" xfId="3" applyNumberFormat="1" applyFont="1" applyBorder="1" applyAlignment="1">
      <alignment horizontal="center" vertical="center" wrapText="1"/>
    </xf>
    <xf numFmtId="0" fontId="27" fillId="0" borderId="16" xfId="3" applyFont="1" applyBorder="1" applyAlignment="1">
      <alignment horizontal="center" vertical="center" wrapText="1"/>
    </xf>
    <xf numFmtId="4" fontId="28" fillId="0" borderId="19" xfId="3" applyNumberFormat="1" applyFont="1" applyBorder="1" applyAlignment="1">
      <alignment vertical="center" wrapText="1"/>
    </xf>
    <xf numFmtId="4" fontId="15" fillId="0" borderId="0" xfId="2" applyNumberFormat="1" applyFont="1" applyAlignment="1">
      <alignment vertical="center"/>
    </xf>
    <xf numFmtId="0" fontId="26" fillId="0" borderId="24" xfId="3" applyFont="1" applyBorder="1" applyAlignment="1">
      <alignment horizontal="center" vertical="center" wrapText="1"/>
    </xf>
    <xf numFmtId="0" fontId="27" fillId="0" borderId="24" xfId="3" applyFont="1" applyBorder="1" applyAlignment="1">
      <alignment horizontal="center" vertical="center" wrapText="1"/>
    </xf>
    <xf numFmtId="0" fontId="26" fillId="0" borderId="25" xfId="3" applyFont="1" applyBorder="1" applyAlignment="1">
      <alignment vertical="center" wrapText="1"/>
    </xf>
    <xf numFmtId="0" fontId="26" fillId="0" borderId="24" xfId="4" applyFont="1" applyBorder="1" applyAlignment="1">
      <alignment horizontal="center" vertical="center"/>
    </xf>
    <xf numFmtId="0" fontId="26" fillId="0" borderId="25" xfId="4" applyFont="1" applyBorder="1" applyAlignment="1">
      <alignment vertical="center"/>
    </xf>
    <xf numFmtId="166" fontId="28" fillId="0" borderId="28" xfId="3" applyNumberFormat="1" applyFont="1" applyFill="1" applyBorder="1" applyAlignment="1">
      <alignment horizontal="center" vertical="center" wrapText="1"/>
    </xf>
    <xf numFmtId="165" fontId="28" fillId="0" borderId="28" xfId="3" applyNumberFormat="1" applyFont="1" applyFill="1" applyBorder="1" applyAlignment="1">
      <alignment vertical="center" wrapText="1"/>
    </xf>
    <xf numFmtId="167" fontId="28" fillId="0" borderId="29" xfId="3" applyNumberFormat="1" applyFont="1" applyFill="1" applyBorder="1" applyAlignment="1">
      <alignment vertical="center" wrapText="1"/>
    </xf>
    <xf numFmtId="10" fontId="28" fillId="0" borderId="35" xfId="3" applyNumberFormat="1" applyFont="1" applyFill="1" applyBorder="1" applyAlignment="1">
      <alignment vertical="center" wrapText="1"/>
    </xf>
    <xf numFmtId="167" fontId="28" fillId="0" borderId="13" xfId="3" applyNumberFormat="1" applyFont="1" applyFill="1" applyBorder="1" applyAlignment="1">
      <alignment vertical="center" wrapText="1"/>
    </xf>
    <xf numFmtId="167" fontId="1" fillId="0" borderId="0" xfId="2" applyNumberFormat="1" applyAlignment="1">
      <alignment vertical="center"/>
    </xf>
    <xf numFmtId="4" fontId="1" fillId="0" borderId="0" xfId="2" applyNumberFormat="1" applyAlignment="1">
      <alignment vertical="center"/>
    </xf>
    <xf numFmtId="167" fontId="28" fillId="0" borderId="39" xfId="3" applyNumberFormat="1" applyFont="1" applyFill="1" applyBorder="1" applyAlignment="1">
      <alignment vertical="center" wrapText="1"/>
    </xf>
    <xf numFmtId="10" fontId="28" fillId="0" borderId="42" xfId="3" applyNumberFormat="1" applyFont="1" applyFill="1" applyBorder="1" applyAlignment="1">
      <alignment vertical="center" wrapText="1"/>
    </xf>
    <xf numFmtId="0" fontId="23" fillId="0" borderId="44" xfId="3" applyFont="1" applyBorder="1" applyAlignment="1">
      <alignment vertical="center" wrapText="1"/>
    </xf>
    <xf numFmtId="165" fontId="28" fillId="0" borderId="53" xfId="3" applyNumberFormat="1" applyFont="1" applyBorder="1" applyAlignment="1">
      <alignment horizontal="center" vertical="center" wrapText="1"/>
    </xf>
    <xf numFmtId="0" fontId="27" fillId="0" borderId="53" xfId="3" applyFont="1" applyBorder="1" applyAlignment="1">
      <alignment horizontal="center" vertical="center" wrapText="1"/>
    </xf>
    <xf numFmtId="0" fontId="27" fillId="0" borderId="56" xfId="3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63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6" fillId="0" borderId="64" xfId="0" applyFont="1" applyBorder="1" applyAlignment="1">
      <alignment horizontal="left" vertical="center"/>
    </xf>
    <xf numFmtId="165" fontId="1" fillId="0" borderId="0" xfId="2" applyNumberFormat="1" applyAlignment="1">
      <alignment horizontal="center" vertical="center"/>
    </xf>
    <xf numFmtId="0" fontId="1" fillId="0" borderId="0" xfId="2" applyAlignment="1">
      <alignment horizontal="center" vertical="center"/>
    </xf>
    <xf numFmtId="165" fontId="28" fillId="0" borderId="41" xfId="3" applyNumberFormat="1" applyFont="1" applyFill="1" applyBorder="1" applyAlignment="1">
      <alignment vertical="center" wrapText="1"/>
    </xf>
    <xf numFmtId="4" fontId="27" fillId="0" borderId="17" xfId="3" applyNumberFormat="1" applyFont="1" applyBorder="1" applyAlignment="1">
      <alignment horizontal="center" vertical="center" wrapText="1"/>
    </xf>
    <xf numFmtId="4" fontId="27" fillId="0" borderId="18" xfId="3" applyNumberFormat="1" applyFont="1" applyBorder="1" applyAlignment="1">
      <alignment horizontal="center" vertical="center" wrapText="1"/>
    </xf>
    <xf numFmtId="0" fontId="22" fillId="8" borderId="20" xfId="3" applyFont="1" applyFill="1" applyBorder="1" applyAlignment="1">
      <alignment horizontal="center" vertical="center" wrapText="1"/>
    </xf>
    <xf numFmtId="0" fontId="22" fillId="8" borderId="21" xfId="3" applyFont="1" applyFill="1" applyBorder="1" applyAlignment="1">
      <alignment horizontal="center" vertical="center" wrapText="1"/>
    </xf>
    <xf numFmtId="0" fontId="28" fillId="0" borderId="40" xfId="3" applyFont="1" applyFill="1" applyBorder="1" applyAlignment="1">
      <alignment horizontal="center" vertical="center" wrapText="1"/>
    </xf>
    <xf numFmtId="0" fontId="28" fillId="0" borderId="41" xfId="3" applyFont="1" applyFill="1" applyBorder="1" applyAlignment="1">
      <alignment horizontal="center" vertical="center" wrapText="1"/>
    </xf>
    <xf numFmtId="167" fontId="28" fillId="0" borderId="38" xfId="3" applyNumberFormat="1" applyFont="1" applyFill="1" applyBorder="1" applyAlignment="1">
      <alignment vertical="center" wrapText="1"/>
    </xf>
    <xf numFmtId="165" fontId="28" fillId="0" borderId="34" xfId="3" applyNumberFormat="1" applyFont="1" applyFill="1" applyBorder="1" applyAlignment="1">
      <alignment vertical="center" wrapText="1"/>
    </xf>
    <xf numFmtId="0" fontId="28" fillId="0" borderId="37" xfId="3" applyFont="1" applyFill="1" applyBorder="1" applyAlignment="1">
      <alignment horizontal="center" vertical="center" wrapText="1"/>
    </xf>
    <xf numFmtId="0" fontId="28" fillId="0" borderId="38" xfId="3" applyFont="1" applyFill="1" applyBorder="1" applyAlignment="1">
      <alignment horizontal="center" vertical="center" wrapText="1"/>
    </xf>
    <xf numFmtId="0" fontId="28" fillId="0" borderId="33" xfId="3" applyFont="1" applyFill="1" applyBorder="1" applyAlignment="1">
      <alignment horizontal="center" vertical="center" wrapText="1"/>
    </xf>
    <xf numFmtId="0" fontId="28" fillId="0" borderId="34" xfId="3" applyFont="1" applyFill="1" applyBorder="1" applyAlignment="1">
      <alignment horizontal="center" vertical="center" wrapText="1"/>
    </xf>
    <xf numFmtId="0" fontId="28" fillId="0" borderId="26" xfId="3" applyFont="1" applyFill="1" applyBorder="1" applyAlignment="1">
      <alignment horizontal="center" vertical="center" wrapText="1"/>
    </xf>
    <xf numFmtId="0" fontId="28" fillId="0" borderId="27" xfId="3" applyFont="1" applyFill="1" applyBorder="1" applyAlignment="1">
      <alignment horizontal="center" vertical="center" wrapText="1"/>
    </xf>
    <xf numFmtId="167" fontId="28" fillId="0" borderId="28" xfId="3" applyNumberFormat="1" applyFont="1" applyFill="1" applyBorder="1" applyAlignment="1">
      <alignment vertical="center" wrapText="1"/>
    </xf>
    <xf numFmtId="4" fontId="27" fillId="0" borderId="17" xfId="3" applyNumberFormat="1" applyFont="1" applyFill="1" applyBorder="1" applyAlignment="1">
      <alignment horizontal="center" vertical="center" wrapText="1"/>
    </xf>
    <xf numFmtId="4" fontId="27" fillId="0" borderId="18" xfId="3" applyNumberFormat="1" applyFont="1" applyFill="1" applyBorder="1" applyAlignment="1">
      <alignment horizontal="center" vertical="center" wrapText="1"/>
    </xf>
    <xf numFmtId="0" fontId="28" fillId="0" borderId="22" xfId="3" applyFont="1" applyFill="1" applyBorder="1" applyAlignment="1">
      <alignment horizontal="center" vertical="center" wrapText="1"/>
    </xf>
    <xf numFmtId="0" fontId="28" fillId="0" borderId="10" xfId="3" applyFont="1" applyFill="1" applyBorder="1" applyAlignment="1">
      <alignment horizontal="center" vertical="center" wrapText="1"/>
    </xf>
    <xf numFmtId="0" fontId="28" fillId="0" borderId="14" xfId="3" applyFont="1" applyFill="1" applyBorder="1" applyAlignment="1">
      <alignment horizontal="center" vertical="center" wrapText="1"/>
    </xf>
    <xf numFmtId="0" fontId="28" fillId="0" borderId="23" xfId="2" applyFont="1" applyBorder="1" applyAlignment="1">
      <alignment horizontal="center" vertical="center" wrapText="1"/>
    </xf>
    <xf numFmtId="0" fontId="28" fillId="0" borderId="2" xfId="2" applyFont="1" applyBorder="1" applyAlignment="1">
      <alignment horizontal="center" vertical="center" wrapText="1"/>
    </xf>
    <xf numFmtId="0" fontId="28" fillId="0" borderId="15" xfId="2" applyFont="1" applyBorder="1" applyAlignment="1">
      <alignment horizontal="center" vertical="center" wrapText="1"/>
    </xf>
    <xf numFmtId="0" fontId="22" fillId="0" borderId="30" xfId="3" applyFont="1" applyFill="1" applyBorder="1" applyAlignment="1">
      <alignment horizontal="center" vertical="center" wrapText="1"/>
    </xf>
    <xf numFmtId="0" fontId="22" fillId="0" borderId="31" xfId="3" applyFont="1" applyFill="1" applyBorder="1" applyAlignment="1">
      <alignment horizontal="center" vertical="center" wrapText="1"/>
    </xf>
    <xf numFmtId="0" fontId="22" fillId="0" borderId="32" xfId="3" applyFont="1" applyFill="1" applyBorder="1" applyAlignment="1">
      <alignment horizontal="center" vertical="center" wrapText="1"/>
    </xf>
    <xf numFmtId="0" fontId="22" fillId="0" borderId="24" xfId="3" applyFont="1" applyFill="1" applyBorder="1" applyAlignment="1">
      <alignment vertical="center" wrapText="1"/>
    </xf>
    <xf numFmtId="165" fontId="29" fillId="0" borderId="53" xfId="3" applyNumberFormat="1" applyFont="1" applyBorder="1" applyAlignment="1">
      <alignment vertical="center" wrapText="1"/>
    </xf>
    <xf numFmtId="165" fontId="29" fillId="0" borderId="54" xfId="3" applyNumberFormat="1" applyFont="1" applyFill="1" applyBorder="1" applyAlignment="1">
      <alignment horizontal="center" vertical="center" wrapText="1"/>
    </xf>
    <xf numFmtId="165" fontId="29" fillId="0" borderId="55" xfId="3" applyNumberFormat="1" applyFont="1" applyFill="1" applyBorder="1" applyAlignment="1">
      <alignment horizontal="center" vertical="center" wrapText="1"/>
    </xf>
    <xf numFmtId="165" fontId="29" fillId="0" borderId="54" xfId="3" applyNumberFormat="1" applyFont="1" applyBorder="1" applyAlignment="1">
      <alignment horizontal="center" vertical="center" wrapText="1"/>
    </xf>
    <xf numFmtId="165" fontId="29" fillId="0" borderId="55" xfId="3" applyNumberFormat="1" applyFont="1" applyBorder="1" applyAlignment="1">
      <alignment horizontal="center" vertical="center" wrapText="1"/>
    </xf>
    <xf numFmtId="0" fontId="22" fillId="0" borderId="20" xfId="3" applyFont="1" applyFill="1" applyBorder="1" applyAlignment="1">
      <alignment horizontal="center" vertical="center" wrapText="1"/>
    </xf>
    <xf numFmtId="0" fontId="22" fillId="0" borderId="21" xfId="3" applyFont="1" applyFill="1" applyBorder="1" applyAlignment="1">
      <alignment horizontal="center" vertical="center" wrapText="1"/>
    </xf>
    <xf numFmtId="4" fontId="27" fillId="0" borderId="16" xfId="3" applyNumberFormat="1" applyFont="1" applyBorder="1" applyAlignment="1">
      <alignment horizontal="right" vertical="center" wrapText="1"/>
    </xf>
    <xf numFmtId="0" fontId="22" fillId="7" borderId="11" xfId="3" applyFont="1" applyFill="1" applyBorder="1" applyAlignment="1">
      <alignment vertical="center" wrapText="1"/>
    </xf>
    <xf numFmtId="0" fontId="22" fillId="4" borderId="11" xfId="3" applyFont="1" applyFill="1" applyBorder="1" applyAlignment="1">
      <alignment vertical="center" wrapText="1"/>
    </xf>
    <xf numFmtId="165" fontId="29" fillId="0" borderId="53" xfId="3" applyNumberFormat="1" applyFont="1" applyFill="1" applyBorder="1" applyAlignment="1">
      <alignment vertical="center" wrapText="1"/>
    </xf>
    <xf numFmtId="4" fontId="27" fillId="0" borderId="16" xfId="3" applyNumberFormat="1" applyFont="1" applyFill="1" applyBorder="1" applyAlignment="1">
      <alignment horizontal="right" vertical="center" wrapText="1"/>
    </xf>
    <xf numFmtId="0" fontId="22" fillId="8" borderId="24" xfId="3" applyFont="1" applyFill="1" applyBorder="1" applyAlignment="1">
      <alignment vertical="center" wrapText="1"/>
    </xf>
    <xf numFmtId="0" fontId="22" fillId="7" borderId="20" xfId="3" applyFont="1" applyFill="1" applyBorder="1" applyAlignment="1">
      <alignment horizontal="center" vertical="center" wrapText="1"/>
    </xf>
    <xf numFmtId="0" fontId="22" fillId="7" borderId="21" xfId="3" applyFont="1" applyFill="1" applyBorder="1" applyAlignment="1">
      <alignment horizontal="center" vertical="center" wrapText="1"/>
    </xf>
    <xf numFmtId="0" fontId="22" fillId="0" borderId="24" xfId="4" applyFont="1" applyBorder="1" applyAlignment="1">
      <alignment horizontal="center" vertical="center"/>
    </xf>
    <xf numFmtId="0" fontId="22" fillId="0" borderId="20" xfId="4" applyFont="1" applyFill="1" applyBorder="1" applyAlignment="1">
      <alignment horizontal="center" vertical="center"/>
    </xf>
    <xf numFmtId="0" fontId="22" fillId="0" borderId="21" xfId="4" applyFont="1" applyFill="1" applyBorder="1" applyAlignment="1">
      <alignment horizontal="center" vertical="center"/>
    </xf>
    <xf numFmtId="0" fontId="22" fillId="4" borderId="20" xfId="4" applyFont="1" applyFill="1" applyBorder="1" applyAlignment="1">
      <alignment horizontal="center" vertical="center"/>
    </xf>
    <xf numFmtId="0" fontId="22" fillId="4" borderId="21" xfId="4" applyFont="1" applyFill="1" applyBorder="1" applyAlignment="1">
      <alignment horizontal="center" vertical="center"/>
    </xf>
    <xf numFmtId="49" fontId="28" fillId="0" borderId="22" xfId="3" applyNumberFormat="1" applyFont="1" applyFill="1" applyBorder="1" applyAlignment="1">
      <alignment horizontal="center" vertical="center" wrapText="1"/>
    </xf>
    <xf numFmtId="49" fontId="28" fillId="0" borderId="10" xfId="3" applyNumberFormat="1" applyFont="1" applyFill="1" applyBorder="1" applyAlignment="1">
      <alignment horizontal="center" vertical="center" wrapText="1"/>
    </xf>
    <xf numFmtId="49" fontId="28" fillId="0" borderId="14" xfId="3" applyNumberFormat="1" applyFont="1" applyFill="1" applyBorder="1" applyAlignment="1">
      <alignment horizontal="center" vertical="center" wrapText="1"/>
    </xf>
    <xf numFmtId="0" fontId="22" fillId="4" borderId="20" xfId="3" applyFont="1" applyFill="1" applyBorder="1" applyAlignment="1">
      <alignment horizontal="center" vertical="center" wrapText="1"/>
    </xf>
    <xf numFmtId="0" fontId="22" fillId="4" borderId="21" xfId="3" applyFont="1" applyFill="1" applyBorder="1" applyAlignment="1">
      <alignment horizontal="center" vertical="center" wrapText="1"/>
    </xf>
    <xf numFmtId="0" fontId="22" fillId="0" borderId="57" xfId="3" applyFont="1" applyFill="1" applyBorder="1" applyAlignment="1">
      <alignment horizontal="center" vertical="center" wrapText="1"/>
    </xf>
    <xf numFmtId="0" fontId="22" fillId="0" borderId="58" xfId="3" applyFont="1" applyFill="1" applyBorder="1" applyAlignment="1">
      <alignment horizontal="center" vertical="center" wrapText="1"/>
    </xf>
    <xf numFmtId="0" fontId="22" fillId="7" borderId="57" xfId="3" applyFont="1" applyFill="1" applyBorder="1" applyAlignment="1">
      <alignment horizontal="center" vertical="center" wrapText="1"/>
    </xf>
    <xf numFmtId="0" fontId="22" fillId="7" borderId="58" xfId="3" applyFont="1" applyFill="1" applyBorder="1" applyAlignment="1">
      <alignment horizontal="center" vertical="center" wrapText="1"/>
    </xf>
    <xf numFmtId="0" fontId="24" fillId="6" borderId="51" xfId="3" applyFont="1" applyFill="1" applyBorder="1" applyAlignment="1">
      <alignment horizontal="center" vertical="center" wrapText="1"/>
    </xf>
    <xf numFmtId="0" fontId="24" fillId="6" borderId="61" xfId="3" applyFont="1" applyFill="1" applyBorder="1" applyAlignment="1">
      <alignment horizontal="center" vertical="center" wrapText="1"/>
    </xf>
    <xf numFmtId="0" fontId="24" fillId="6" borderId="49" xfId="3" applyFont="1" applyFill="1" applyBorder="1" applyAlignment="1">
      <alignment horizontal="center" vertical="center" wrapText="1"/>
    </xf>
    <xf numFmtId="0" fontId="24" fillId="6" borderId="59" xfId="3" applyFont="1" applyFill="1" applyBorder="1" applyAlignment="1">
      <alignment horizontal="center" vertical="center" wrapText="1"/>
    </xf>
    <xf numFmtId="0" fontId="24" fillId="6" borderId="50" xfId="3" applyFont="1" applyFill="1" applyBorder="1" applyAlignment="1">
      <alignment horizontal="center" vertical="center" wrapText="1"/>
    </xf>
    <xf numFmtId="0" fontId="24" fillId="6" borderId="60" xfId="3" applyFont="1" applyFill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/>
    </xf>
    <xf numFmtId="0" fontId="19" fillId="0" borderId="5" xfId="1" applyFont="1" applyBorder="1" applyAlignment="1">
      <alignment horizontal="center" vertical="center"/>
    </xf>
    <xf numFmtId="0" fontId="19" fillId="0" borderId="6" xfId="1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0" fontId="20" fillId="0" borderId="8" xfId="1" applyFont="1" applyBorder="1" applyAlignment="1">
      <alignment horizontal="center" vertical="center"/>
    </xf>
    <xf numFmtId="0" fontId="21" fillId="0" borderId="7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1" fillId="0" borderId="8" xfId="1" applyFont="1" applyBorder="1" applyAlignment="1">
      <alignment horizontal="center" vertical="center"/>
    </xf>
    <xf numFmtId="0" fontId="21" fillId="0" borderId="9" xfId="1" applyFont="1" applyFill="1" applyBorder="1" applyAlignment="1">
      <alignment horizontal="center" vertical="center"/>
    </xf>
    <xf numFmtId="0" fontId="21" fillId="0" borderId="36" xfId="1" applyFont="1" applyFill="1" applyBorder="1" applyAlignment="1">
      <alignment horizontal="center" vertical="center"/>
    </xf>
    <xf numFmtId="0" fontId="21" fillId="0" borderId="43" xfId="1" applyFont="1" applyFill="1" applyBorder="1" applyAlignment="1">
      <alignment horizontal="center" vertical="center"/>
    </xf>
    <xf numFmtId="0" fontId="23" fillId="0" borderId="47" xfId="3" applyFont="1" applyBorder="1" applyAlignment="1">
      <alignment horizontal="center" vertical="center" wrapText="1"/>
    </xf>
    <xf numFmtId="0" fontId="23" fillId="0" borderId="45" xfId="3" applyFont="1" applyBorder="1" applyAlignment="1">
      <alignment horizontal="center" vertical="center" wrapText="1"/>
    </xf>
    <xf numFmtId="0" fontId="23" fillId="0" borderId="48" xfId="3" applyFont="1" applyBorder="1" applyAlignment="1">
      <alignment horizontal="center" vertical="center" wrapText="1"/>
    </xf>
    <xf numFmtId="0" fontId="23" fillId="0" borderId="45" xfId="3" applyFont="1" applyBorder="1" applyAlignment="1">
      <alignment horizontal="left" vertical="center" wrapText="1"/>
    </xf>
    <xf numFmtId="0" fontId="23" fillId="0" borderId="46" xfId="3" applyFont="1" applyBorder="1" applyAlignment="1">
      <alignment horizontal="left" vertical="center" wrapText="1"/>
    </xf>
    <xf numFmtId="0" fontId="24" fillId="6" borderId="52" xfId="3" applyFont="1" applyFill="1" applyBorder="1" applyAlignment="1">
      <alignment horizontal="center" vertical="center" wrapText="1"/>
    </xf>
    <xf numFmtId="0" fontId="24" fillId="6" borderId="62" xfId="3" applyFont="1" applyFill="1" applyBorder="1" applyAlignment="1">
      <alignment horizontal="center" vertical="center" wrapText="1"/>
    </xf>
    <xf numFmtId="0" fontId="22" fillId="4" borderId="24" xfId="3" applyFont="1" applyFill="1" applyBorder="1" applyAlignment="1">
      <alignment vertical="center" wrapText="1"/>
    </xf>
    <xf numFmtId="0" fontId="0" fillId="9" borderId="3" xfId="0" applyFont="1" applyFill="1" applyBorder="1" applyAlignment="1">
      <alignment horizontal="right" vertical="center" wrapText="1"/>
    </xf>
    <xf numFmtId="4" fontId="0" fillId="9" borderId="3" xfId="0" applyNumberFormat="1" applyFont="1" applyFill="1" applyBorder="1" applyAlignment="1">
      <alignment horizontal="right" vertical="center" wrapText="1"/>
    </xf>
    <xf numFmtId="4" fontId="7" fillId="9" borderId="3" xfId="0" applyNumberFormat="1" applyFont="1" applyFill="1" applyBorder="1" applyAlignment="1">
      <alignment horizontal="right" vertical="center" wrapText="1"/>
    </xf>
    <xf numFmtId="4" fontId="10" fillId="9" borderId="3" xfId="0" applyNumberFormat="1" applyFont="1" applyFill="1" applyBorder="1" applyAlignment="1">
      <alignment vertical="center"/>
    </xf>
    <xf numFmtId="4" fontId="0" fillId="9" borderId="3" xfId="0" applyNumberFormat="1" applyFont="1" applyFill="1" applyBorder="1" applyAlignment="1">
      <alignment vertical="center"/>
    </xf>
    <xf numFmtId="4" fontId="0" fillId="9" borderId="3" xfId="0" applyNumberFormat="1" applyFill="1" applyBorder="1" applyAlignment="1">
      <alignment vertical="center"/>
    </xf>
    <xf numFmtId="4" fontId="7" fillId="9" borderId="3" xfId="0" applyNumberFormat="1" applyFont="1" applyFill="1" applyBorder="1" applyAlignment="1">
      <alignment vertical="center"/>
    </xf>
  </cellXfs>
  <cellStyles count="5">
    <cellStyle name="Excel Built-in Normal" xfId="3"/>
    <cellStyle name="Normal" xfId="0" builtinId="0"/>
    <cellStyle name="Normal 2" xfId="2"/>
    <cellStyle name="Normal 3" xfId="1"/>
    <cellStyle name="Normal 34" xfId="4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0</xdr:row>
      <xdr:rowOff>49696</xdr:rowOff>
    </xdr:from>
    <xdr:to>
      <xdr:col>7</xdr:col>
      <xdr:colOff>761999</xdr:colOff>
      <xdr:row>2</xdr:row>
      <xdr:rowOff>41414</xdr:rowOff>
    </xdr:to>
    <xdr:pic>
      <xdr:nvPicPr>
        <xdr:cNvPr id="2" name="Imagem 1" descr="Novo timbre PJF.SO.png"/>
        <xdr:cNvPicPr/>
      </xdr:nvPicPr>
      <xdr:blipFill>
        <a:blip xmlns:r="http://schemas.openxmlformats.org/officeDocument/2006/relationships" r:embed="rId1"/>
        <a:stretch/>
      </xdr:blipFill>
      <xdr:spPr>
        <a:xfrm>
          <a:off x="5731565" y="49696"/>
          <a:ext cx="1772477" cy="447261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379415</xdr:colOff>
      <xdr:row>0</xdr:row>
      <xdr:rowOff>64672</xdr:rowOff>
    </xdr:from>
    <xdr:to>
      <xdr:col>20</xdr:col>
      <xdr:colOff>630154</xdr:colOff>
      <xdr:row>2</xdr:row>
      <xdr:rowOff>132886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9937" y="64672"/>
          <a:ext cx="2685826" cy="5320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I486"/>
  <sheetViews>
    <sheetView tabSelected="1" view="pageBreakPreview" zoomScale="115" zoomScaleNormal="100" zoomScaleSheetLayoutView="115" zoomScalePageLayoutView="95" workbookViewId="0">
      <pane ySplit="8" topLeftCell="A9" activePane="bottomLeft" state="frozen"/>
      <selection pane="bottomLeft" activeCell="F10" sqref="F10"/>
    </sheetView>
  </sheetViews>
  <sheetFormatPr defaultColWidth="9.140625" defaultRowHeight="15" x14ac:dyDescent="0.25"/>
  <cols>
    <col min="1" max="1" width="7.7109375" style="1" bestFit="1" customWidth="1"/>
    <col min="2" max="2" width="41.28515625" style="2" customWidth="1"/>
    <col min="3" max="3" width="14.140625" style="2" customWidth="1"/>
    <col min="4" max="4" width="8" style="1" bestFit="1" customWidth="1"/>
    <col min="5" max="5" width="9.140625" style="2" customWidth="1"/>
    <col min="6" max="7" width="10.42578125" style="3" customWidth="1"/>
    <col min="8" max="8" width="12.140625" style="3" customWidth="1"/>
    <col min="9" max="9" width="5" style="3" customWidth="1"/>
    <col min="10" max="10" width="8.7109375" style="2" customWidth="1"/>
    <col min="11" max="11" width="17.7109375" style="2" customWidth="1"/>
    <col min="12" max="12" width="12.140625" style="2" bestFit="1" customWidth="1"/>
    <col min="13" max="13" width="9.140625" style="3"/>
    <col min="14" max="1022" width="9.140625" style="2"/>
  </cols>
  <sheetData>
    <row r="1" spans="1:1023" ht="20.25" x14ac:dyDescent="0.25">
      <c r="A1" s="137" t="s">
        <v>0</v>
      </c>
      <c r="B1" s="137"/>
      <c r="C1" s="137"/>
      <c r="D1" s="137"/>
      <c r="E1" s="137"/>
      <c r="F1" s="137"/>
      <c r="G1" s="137"/>
      <c r="H1" s="137"/>
      <c r="J1" s="4">
        <v>1.25</v>
      </c>
      <c r="K1" s="86" t="s">
        <v>742</v>
      </c>
    </row>
    <row r="2" spans="1:1023" ht="15.75" x14ac:dyDescent="0.25">
      <c r="A2" s="138" t="s">
        <v>1</v>
      </c>
      <c r="B2" s="138"/>
      <c r="C2" s="138"/>
      <c r="D2" s="138"/>
      <c r="E2" s="138"/>
      <c r="F2" s="138"/>
      <c r="G2" s="138"/>
      <c r="H2" s="138"/>
      <c r="I2"/>
      <c r="N2"/>
      <c r="O2" s="1"/>
      <c r="P2" s="1"/>
    </row>
    <row r="3" spans="1:1023" x14ac:dyDescent="0.25">
      <c r="A3" s="139" t="s">
        <v>2</v>
      </c>
      <c r="B3" s="139"/>
      <c r="C3" s="139"/>
      <c r="D3" s="139"/>
      <c r="E3" s="139"/>
      <c r="F3" s="139"/>
      <c r="G3" s="139"/>
      <c r="H3" s="139"/>
      <c r="N3"/>
      <c r="O3" s="1"/>
      <c r="P3" s="1"/>
    </row>
    <row r="4" spans="1:1023" x14ac:dyDescent="0.25">
      <c r="A4" s="140" t="s">
        <v>806</v>
      </c>
      <c r="B4" s="140"/>
      <c r="C4" s="140"/>
      <c r="D4" s="140"/>
      <c r="E4" s="140"/>
      <c r="F4" s="140"/>
      <c r="G4" s="140"/>
      <c r="H4" s="140"/>
      <c r="I4" s="4"/>
    </row>
    <row r="5" spans="1:1023" x14ac:dyDescent="0.25">
      <c r="A5" s="101" t="s">
        <v>3</v>
      </c>
      <c r="B5" s="142" t="s">
        <v>809</v>
      </c>
      <c r="C5" s="143"/>
      <c r="D5" s="143"/>
      <c r="E5" s="143"/>
      <c r="F5" s="144"/>
      <c r="G5" s="101" t="s">
        <v>4</v>
      </c>
      <c r="H5" s="102">
        <v>45131</v>
      </c>
      <c r="I5" s="4"/>
    </row>
    <row r="6" spans="1:1023" x14ac:dyDescent="0.25">
      <c r="A6" s="141" t="s">
        <v>5</v>
      </c>
      <c r="B6" s="141" t="s">
        <v>6</v>
      </c>
      <c r="C6" s="104" t="s">
        <v>7</v>
      </c>
      <c r="D6" s="141" t="s">
        <v>8</v>
      </c>
      <c r="E6" s="141" t="s">
        <v>9</v>
      </c>
      <c r="F6" s="141" t="s">
        <v>10</v>
      </c>
      <c r="G6" s="141"/>
      <c r="H6" s="108"/>
      <c r="I6" s="4"/>
    </row>
    <row r="7" spans="1:1023" s="5" customFormat="1" ht="25.5" x14ac:dyDescent="0.25">
      <c r="A7" s="141"/>
      <c r="B7" s="141"/>
      <c r="C7" s="103" t="s">
        <v>778</v>
      </c>
      <c r="D7" s="141"/>
      <c r="E7" s="141"/>
      <c r="F7" s="35" t="s">
        <v>11</v>
      </c>
      <c r="G7" s="35" t="s">
        <v>12</v>
      </c>
      <c r="H7" s="35" t="s">
        <v>12</v>
      </c>
      <c r="J7" s="2"/>
      <c r="M7" s="22"/>
      <c r="AMI7"/>
    </row>
    <row r="8" spans="1:1023" s="10" customFormat="1" ht="15" customHeight="1" x14ac:dyDescent="0.25">
      <c r="A8" s="136" t="s">
        <v>776</v>
      </c>
      <c r="B8" s="136"/>
      <c r="C8" s="136"/>
      <c r="D8" s="136"/>
      <c r="E8" s="136"/>
      <c r="F8" s="136"/>
      <c r="G8" s="136"/>
      <c r="H8" s="39">
        <f>H9+H15+H17+H53+H60+H66+H70+H83+H89+H127+H133+H198+H233</f>
        <v>0</v>
      </c>
      <c r="J8" s="2"/>
      <c r="M8" s="22"/>
      <c r="AMI8"/>
    </row>
    <row r="9" spans="1:1023" s="10" customFormat="1" x14ac:dyDescent="0.25">
      <c r="A9" s="6">
        <v>1</v>
      </c>
      <c r="B9" s="7" t="s">
        <v>13</v>
      </c>
      <c r="C9" s="6"/>
      <c r="D9" s="6"/>
      <c r="E9" s="6"/>
      <c r="F9" s="6"/>
      <c r="G9" s="6"/>
      <c r="H9" s="8">
        <f>SUM(H10:H14)</f>
        <v>0</v>
      </c>
      <c r="I9" s="9"/>
      <c r="M9" s="22"/>
      <c r="AMI9" s="11"/>
    </row>
    <row r="10" spans="1:1023" s="14" customFormat="1" ht="60" x14ac:dyDescent="0.25">
      <c r="A10" s="33" t="s">
        <v>14</v>
      </c>
      <c r="B10" s="23" t="s">
        <v>767</v>
      </c>
      <c r="C10" s="29">
        <v>103689</v>
      </c>
      <c r="D10" s="33" t="s">
        <v>15</v>
      </c>
      <c r="E10" s="12">
        <f>ROUND(2.4*1.2,2)</f>
        <v>2.88</v>
      </c>
      <c r="F10" s="230"/>
      <c r="G10" s="24">
        <f>ROUND(F10*J$1,2)</f>
        <v>0</v>
      </c>
      <c r="H10" s="24">
        <f>ROUND(E10*G10,2)</f>
        <v>0</v>
      </c>
      <c r="I10" s="13"/>
      <c r="M10" s="88"/>
      <c r="N10" s="13"/>
      <c r="AMI10"/>
    </row>
    <row r="11" spans="1:1023" s="14" customFormat="1" ht="60" x14ac:dyDescent="0.25">
      <c r="A11" s="33" t="s">
        <v>16</v>
      </c>
      <c r="B11" s="23" t="s">
        <v>17</v>
      </c>
      <c r="C11" s="29">
        <v>99059</v>
      </c>
      <c r="D11" s="33" t="s">
        <v>18</v>
      </c>
      <c r="E11" s="15">
        <f>2*(25.85+3.7)</f>
        <v>59.1</v>
      </c>
      <c r="F11" s="230"/>
      <c r="G11" s="24">
        <f>ROUND(F11*J$1,2)</f>
        <v>0</v>
      </c>
      <c r="H11" s="24">
        <f t="shared" ref="H11:H14" si="0">ROUND(E11*G11,2)</f>
        <v>0</v>
      </c>
      <c r="I11" s="13"/>
      <c r="M11" s="88"/>
      <c r="N11" s="13"/>
      <c r="AMI11"/>
    </row>
    <row r="12" spans="1:1023" s="14" customFormat="1" x14ac:dyDescent="0.25">
      <c r="A12" s="33" t="s">
        <v>19</v>
      </c>
      <c r="B12" s="16" t="s">
        <v>766</v>
      </c>
      <c r="C12" s="33">
        <v>98459</v>
      </c>
      <c r="D12" s="33" t="s">
        <v>18</v>
      </c>
      <c r="E12" s="15">
        <f>36+12</f>
        <v>48</v>
      </c>
      <c r="F12" s="230"/>
      <c r="G12" s="24">
        <f>ROUND(F12*J$1,2)</f>
        <v>0</v>
      </c>
      <c r="H12" s="24">
        <f t="shared" si="0"/>
        <v>0</v>
      </c>
      <c r="I12" s="13"/>
      <c r="M12" s="88"/>
      <c r="N12" s="13"/>
      <c r="AMI12"/>
    </row>
    <row r="13" spans="1:1023" s="14" customFormat="1" ht="78" customHeight="1" x14ac:dyDescent="0.25">
      <c r="A13" s="33" t="s">
        <v>20</v>
      </c>
      <c r="B13" s="95" t="s">
        <v>21</v>
      </c>
      <c r="C13" s="96" t="s">
        <v>768</v>
      </c>
      <c r="D13" s="33" t="s">
        <v>8</v>
      </c>
      <c r="E13" s="15">
        <v>1</v>
      </c>
      <c r="F13" s="231"/>
      <c r="G13" s="24">
        <f>ROUND(F13*J$1,2)</f>
        <v>0</v>
      </c>
      <c r="H13" s="24">
        <f t="shared" si="0"/>
        <v>0</v>
      </c>
      <c r="I13" s="13"/>
      <c r="M13" s="88"/>
      <c r="N13" s="13"/>
      <c r="AMI13"/>
    </row>
    <row r="14" spans="1:1023" s="14" customFormat="1" ht="102.75" customHeight="1" x14ac:dyDescent="0.25">
      <c r="A14" s="33" t="s">
        <v>22</v>
      </c>
      <c r="B14" s="95" t="s">
        <v>770</v>
      </c>
      <c r="C14" s="96" t="s">
        <v>769</v>
      </c>
      <c r="D14" s="33" t="s">
        <v>8</v>
      </c>
      <c r="E14" s="15">
        <v>1</v>
      </c>
      <c r="F14" s="231"/>
      <c r="G14" s="24">
        <f>ROUND(F14*J$1,2)</f>
        <v>0</v>
      </c>
      <c r="H14" s="24">
        <f t="shared" si="0"/>
        <v>0</v>
      </c>
      <c r="I14" s="13"/>
      <c r="M14" s="88"/>
      <c r="N14" s="13"/>
      <c r="AMI14"/>
    </row>
    <row r="15" spans="1:1023" s="10" customFormat="1" ht="30" x14ac:dyDescent="0.25">
      <c r="A15" s="6">
        <v>2</v>
      </c>
      <c r="B15" s="19" t="s">
        <v>808</v>
      </c>
      <c r="C15" s="17"/>
      <c r="D15" s="6"/>
      <c r="E15" s="6"/>
      <c r="F15" s="6"/>
      <c r="G15" s="6"/>
      <c r="H15" s="8">
        <f>SUM(H16:H16)</f>
        <v>0</v>
      </c>
      <c r="I15" s="9"/>
      <c r="J15" s="135"/>
      <c r="K15" s="135"/>
      <c r="M15" s="89"/>
      <c r="N15" s="13"/>
      <c r="AMI15" s="11"/>
    </row>
    <row r="16" spans="1:1023" s="14" customFormat="1" ht="30" x14ac:dyDescent="0.25">
      <c r="A16" s="82" t="s">
        <v>24</v>
      </c>
      <c r="B16" s="83" t="s">
        <v>740</v>
      </c>
      <c r="C16" s="82" t="s">
        <v>741</v>
      </c>
      <c r="D16" s="82" t="s">
        <v>739</v>
      </c>
      <c r="E16" s="84">
        <v>8</v>
      </c>
      <c r="F16" s="232"/>
      <c r="G16" s="24">
        <f>ROUND(F16*J$1,2)</f>
        <v>0</v>
      </c>
      <c r="H16" s="24">
        <f>ROUND(E16*G16,2)</f>
        <v>0</v>
      </c>
      <c r="I16" s="13"/>
      <c r="J16" s="11"/>
      <c r="M16" s="88"/>
      <c r="N16" s="13"/>
      <c r="AMI16"/>
    </row>
    <row r="17" spans="1:1023" s="5" customFormat="1" x14ac:dyDescent="0.25">
      <c r="A17" s="18">
        <v>3</v>
      </c>
      <c r="B17" s="19" t="s">
        <v>385</v>
      </c>
      <c r="C17" s="20"/>
      <c r="D17" s="52"/>
      <c r="E17" s="20"/>
      <c r="F17" s="21"/>
      <c r="G17" s="21"/>
      <c r="H17" s="8">
        <f>H18+H33+H39+H47</f>
        <v>0</v>
      </c>
      <c r="I17" s="22"/>
      <c r="M17" s="89"/>
      <c r="N17" s="13"/>
      <c r="AMI17" s="11"/>
    </row>
    <row r="18" spans="1:1023" s="58" customFormat="1" x14ac:dyDescent="0.25">
      <c r="A18" s="63" t="s">
        <v>25</v>
      </c>
      <c r="B18" s="64" t="s">
        <v>252</v>
      </c>
      <c r="C18" s="68"/>
      <c r="D18" s="63"/>
      <c r="E18" s="65"/>
      <c r="F18" s="65"/>
      <c r="G18" s="65"/>
      <c r="H18" s="65">
        <f>SUM(H19:H32)</f>
        <v>0</v>
      </c>
      <c r="I18" s="57"/>
      <c r="M18" s="90"/>
      <c r="N18" s="13"/>
      <c r="AMI18" s="59"/>
    </row>
    <row r="19" spans="1:1023" s="55" customFormat="1" ht="60" x14ac:dyDescent="0.25">
      <c r="A19" s="48" t="s">
        <v>253</v>
      </c>
      <c r="B19" s="49" t="s">
        <v>292</v>
      </c>
      <c r="C19" s="48">
        <v>96521</v>
      </c>
      <c r="D19" s="48" t="s">
        <v>26</v>
      </c>
      <c r="E19" s="53">
        <f>ROUND(26.517,2)</f>
        <v>26.52</v>
      </c>
      <c r="F19" s="233"/>
      <c r="G19" s="24">
        <f t="shared" ref="G19:G32" si="1">ROUND(F19*J$1,2)</f>
        <v>0</v>
      </c>
      <c r="H19" s="24">
        <f t="shared" ref="H19:H32" si="2">ROUND(E19*G19,2)</f>
        <v>0</v>
      </c>
      <c r="J19" s="54"/>
      <c r="L19" s="60"/>
      <c r="M19" s="91"/>
      <c r="N19" s="13"/>
      <c r="P19" s="54"/>
      <c r="AMI19" s="56"/>
    </row>
    <row r="20" spans="1:1023" s="55" customFormat="1" ht="60" x14ac:dyDescent="0.25">
      <c r="A20" s="48" t="s">
        <v>254</v>
      </c>
      <c r="B20" s="49" t="s">
        <v>291</v>
      </c>
      <c r="C20" s="48">
        <v>96525</v>
      </c>
      <c r="D20" s="48" t="s">
        <v>26</v>
      </c>
      <c r="E20" s="53">
        <f>ROUND(7.70625,2)</f>
        <v>7.71</v>
      </c>
      <c r="F20" s="233"/>
      <c r="G20" s="24">
        <f t="shared" si="1"/>
        <v>0</v>
      </c>
      <c r="H20" s="24">
        <f t="shared" si="2"/>
        <v>0</v>
      </c>
      <c r="J20" s="54"/>
      <c r="L20" s="60"/>
      <c r="M20" s="91"/>
      <c r="N20" s="13"/>
      <c r="P20" s="54"/>
      <c r="AMI20" s="56"/>
    </row>
    <row r="21" spans="1:1023" s="55" customFormat="1" ht="45" x14ac:dyDescent="0.25">
      <c r="A21" s="48" t="s">
        <v>255</v>
      </c>
      <c r="B21" s="49" t="s">
        <v>317</v>
      </c>
      <c r="C21" s="48">
        <v>93382</v>
      </c>
      <c r="D21" s="48" t="s">
        <v>26</v>
      </c>
      <c r="E21" s="53">
        <f>E19</f>
        <v>26.52</v>
      </c>
      <c r="F21" s="233"/>
      <c r="G21" s="24">
        <f t="shared" si="1"/>
        <v>0</v>
      </c>
      <c r="H21" s="24">
        <f t="shared" si="2"/>
        <v>0</v>
      </c>
      <c r="J21" s="54"/>
      <c r="L21" s="60"/>
      <c r="M21" s="91"/>
      <c r="N21" s="13"/>
      <c r="P21" s="54"/>
      <c r="AMI21" s="56"/>
    </row>
    <row r="22" spans="1:1023" s="55" customFormat="1" ht="75" x14ac:dyDescent="0.25">
      <c r="A22" s="48" t="s">
        <v>256</v>
      </c>
      <c r="B22" s="49" t="s">
        <v>287</v>
      </c>
      <c r="C22" s="48">
        <v>100973</v>
      </c>
      <c r="D22" s="48" t="s">
        <v>26</v>
      </c>
      <c r="E22" s="53">
        <f>ROUND(E19*1.3-E21,2)</f>
        <v>7.96</v>
      </c>
      <c r="F22" s="233"/>
      <c r="G22" s="24">
        <f t="shared" si="1"/>
        <v>0</v>
      </c>
      <c r="H22" s="24">
        <f t="shared" si="2"/>
        <v>0</v>
      </c>
      <c r="J22" s="54"/>
      <c r="L22" s="60"/>
      <c r="M22" s="91"/>
      <c r="N22" s="13"/>
      <c r="P22" s="54"/>
      <c r="AMI22" s="56"/>
    </row>
    <row r="23" spans="1:1023" s="55" customFormat="1" ht="75" x14ac:dyDescent="0.25">
      <c r="A23" s="48" t="s">
        <v>257</v>
      </c>
      <c r="B23" s="49" t="s">
        <v>288</v>
      </c>
      <c r="C23" s="48">
        <v>100973</v>
      </c>
      <c r="D23" s="48" t="s">
        <v>26</v>
      </c>
      <c r="E23" s="53">
        <f>ROUND(E20*1.3,2)</f>
        <v>10.02</v>
      </c>
      <c r="F23" s="233"/>
      <c r="G23" s="24">
        <f t="shared" si="1"/>
        <v>0</v>
      </c>
      <c r="H23" s="24">
        <f t="shared" si="2"/>
        <v>0</v>
      </c>
      <c r="J23" s="54"/>
      <c r="L23" s="60"/>
      <c r="M23" s="91"/>
      <c r="N23" s="13"/>
      <c r="P23" s="54"/>
      <c r="AMI23" s="56"/>
    </row>
    <row r="24" spans="1:1023" s="55" customFormat="1" ht="60" x14ac:dyDescent="0.25">
      <c r="A24" s="48" t="s">
        <v>259</v>
      </c>
      <c r="B24" s="49" t="s">
        <v>315</v>
      </c>
      <c r="C24" s="48">
        <v>97914</v>
      </c>
      <c r="D24" s="48" t="s">
        <v>281</v>
      </c>
      <c r="E24" s="53">
        <f>ROUND(E22*6.1,2)</f>
        <v>48.56</v>
      </c>
      <c r="F24" s="233"/>
      <c r="G24" s="24">
        <f t="shared" si="1"/>
        <v>0</v>
      </c>
      <c r="H24" s="24">
        <f t="shared" si="2"/>
        <v>0</v>
      </c>
      <c r="J24" s="54"/>
      <c r="L24" s="60"/>
      <c r="M24" s="91"/>
      <c r="N24" s="13"/>
      <c r="P24" s="54"/>
      <c r="AMI24" s="56"/>
    </row>
    <row r="25" spans="1:1023" s="55" customFormat="1" ht="60" x14ac:dyDescent="0.25">
      <c r="A25" s="48" t="s">
        <v>260</v>
      </c>
      <c r="B25" s="49" t="s">
        <v>316</v>
      </c>
      <c r="C25" s="48">
        <v>97914</v>
      </c>
      <c r="D25" s="48" t="s">
        <v>281</v>
      </c>
      <c r="E25" s="53">
        <f>ROUND(E23*6.1,2)</f>
        <v>61.12</v>
      </c>
      <c r="F25" s="233"/>
      <c r="G25" s="24">
        <f t="shared" si="1"/>
        <v>0</v>
      </c>
      <c r="H25" s="24">
        <f t="shared" si="2"/>
        <v>0</v>
      </c>
      <c r="J25" s="41"/>
      <c r="K25" s="42"/>
      <c r="L25" s="60"/>
      <c r="M25" s="92"/>
      <c r="N25" s="13"/>
      <c r="O25" s="42"/>
      <c r="P25" s="57"/>
      <c r="AMI25" s="56"/>
    </row>
    <row r="26" spans="1:1023" s="42" customFormat="1" ht="45" x14ac:dyDescent="0.25">
      <c r="A26" s="48" t="s">
        <v>282</v>
      </c>
      <c r="B26" s="49" t="s">
        <v>296</v>
      </c>
      <c r="C26" s="96" t="s">
        <v>295</v>
      </c>
      <c r="D26" s="51" t="s">
        <v>258</v>
      </c>
      <c r="E26" s="40">
        <v>6</v>
      </c>
      <c r="F26" s="234"/>
      <c r="G26" s="24">
        <f t="shared" si="1"/>
        <v>0</v>
      </c>
      <c r="H26" s="24">
        <f t="shared" si="2"/>
        <v>0</v>
      </c>
      <c r="M26" s="92"/>
      <c r="N26" s="13"/>
      <c r="AMI26" s="43"/>
    </row>
    <row r="27" spans="1:1023" s="42" customFormat="1" ht="45" x14ac:dyDescent="0.25">
      <c r="A27" s="48" t="s">
        <v>283</v>
      </c>
      <c r="B27" s="49" t="s">
        <v>294</v>
      </c>
      <c r="C27" s="51">
        <v>96546</v>
      </c>
      <c r="D27" s="51" t="s">
        <v>258</v>
      </c>
      <c r="E27" s="40">
        <v>228</v>
      </c>
      <c r="F27" s="234"/>
      <c r="G27" s="24">
        <f t="shared" si="1"/>
        <v>0</v>
      </c>
      <c r="H27" s="24">
        <f t="shared" si="2"/>
        <v>0</v>
      </c>
      <c r="M27" s="92"/>
      <c r="N27" s="13"/>
      <c r="AMI27" s="43"/>
    </row>
    <row r="28" spans="1:1023" s="42" customFormat="1" ht="45" x14ac:dyDescent="0.25">
      <c r="A28" s="48" t="s">
        <v>284</v>
      </c>
      <c r="B28" s="49" t="s">
        <v>289</v>
      </c>
      <c r="C28" s="51">
        <v>96619</v>
      </c>
      <c r="D28" s="51" t="s">
        <v>15</v>
      </c>
      <c r="E28" s="40">
        <v>23.89</v>
      </c>
      <c r="F28" s="234"/>
      <c r="G28" s="24">
        <f t="shared" si="1"/>
        <v>0</v>
      </c>
      <c r="H28" s="24">
        <f t="shared" si="2"/>
        <v>0</v>
      </c>
      <c r="I28" s="41"/>
      <c r="K28" s="60"/>
      <c r="M28" s="92"/>
      <c r="N28" s="13"/>
      <c r="AMI28" s="43"/>
    </row>
    <row r="29" spans="1:1023" s="42" customFormat="1" ht="60" x14ac:dyDescent="0.25">
      <c r="A29" s="48" t="s">
        <v>285</v>
      </c>
      <c r="B29" s="49" t="s">
        <v>290</v>
      </c>
      <c r="C29" s="51">
        <v>98562</v>
      </c>
      <c r="D29" s="51" t="s">
        <v>15</v>
      </c>
      <c r="E29" s="40">
        <v>121.47000000000003</v>
      </c>
      <c r="F29" s="234"/>
      <c r="G29" s="24">
        <f t="shared" si="1"/>
        <v>0</v>
      </c>
      <c r="H29" s="24">
        <f t="shared" si="2"/>
        <v>0</v>
      </c>
      <c r="I29" s="41"/>
      <c r="K29" s="60"/>
      <c r="M29" s="92"/>
      <c r="N29" s="13"/>
      <c r="AMI29" s="43"/>
    </row>
    <row r="30" spans="1:1023" s="42" customFormat="1" ht="60" x14ac:dyDescent="0.25">
      <c r="A30" s="48" t="s">
        <v>286</v>
      </c>
      <c r="B30" s="49" t="s">
        <v>310</v>
      </c>
      <c r="C30" s="96" t="s">
        <v>311</v>
      </c>
      <c r="D30" s="51" t="s">
        <v>26</v>
      </c>
      <c r="E30" s="40">
        <v>8.9700000000000006</v>
      </c>
      <c r="F30" s="234"/>
      <c r="G30" s="24">
        <f t="shared" si="1"/>
        <v>0</v>
      </c>
      <c r="H30" s="24">
        <f t="shared" si="2"/>
        <v>0</v>
      </c>
      <c r="I30" s="41"/>
      <c r="M30" s="92"/>
      <c r="N30" s="13"/>
      <c r="AMI30" s="43"/>
    </row>
    <row r="31" spans="1:1023" s="42" customFormat="1" ht="60" x14ac:dyDescent="0.25">
      <c r="A31" s="48" t="s">
        <v>313</v>
      </c>
      <c r="B31" s="49" t="s">
        <v>312</v>
      </c>
      <c r="C31" s="51">
        <v>96541</v>
      </c>
      <c r="D31" s="51" t="s">
        <v>15</v>
      </c>
      <c r="E31" s="40">
        <v>29.6</v>
      </c>
      <c r="F31" s="234"/>
      <c r="G31" s="24">
        <f t="shared" si="1"/>
        <v>0</v>
      </c>
      <c r="H31" s="24">
        <f t="shared" si="2"/>
        <v>0</v>
      </c>
      <c r="I31" s="41"/>
      <c r="M31" s="92"/>
      <c r="N31" s="13"/>
      <c r="AMI31" s="43"/>
    </row>
    <row r="32" spans="1:1023" s="42" customFormat="1" ht="60" x14ac:dyDescent="0.25">
      <c r="A32" s="48" t="s">
        <v>314</v>
      </c>
      <c r="B32" s="49" t="s">
        <v>293</v>
      </c>
      <c r="C32" s="51">
        <v>96542</v>
      </c>
      <c r="D32" s="51" t="s">
        <v>15</v>
      </c>
      <c r="E32" s="40">
        <v>121.47000000000003</v>
      </c>
      <c r="F32" s="234"/>
      <c r="G32" s="24">
        <f t="shared" si="1"/>
        <v>0</v>
      </c>
      <c r="H32" s="24">
        <f t="shared" si="2"/>
        <v>0</v>
      </c>
      <c r="I32" s="41"/>
      <c r="K32" s="61"/>
      <c r="M32" s="92"/>
      <c r="N32" s="13"/>
      <c r="AMI32" s="43"/>
    </row>
    <row r="33" spans="1:1023" s="58" customFormat="1" x14ac:dyDescent="0.25">
      <c r="A33" s="63" t="s">
        <v>27</v>
      </c>
      <c r="B33" s="64" t="s">
        <v>261</v>
      </c>
      <c r="C33" s="63"/>
      <c r="D33" s="63"/>
      <c r="E33" s="65"/>
      <c r="F33" s="65"/>
      <c r="G33" s="65"/>
      <c r="H33" s="65">
        <f>SUM(H34:H38)</f>
        <v>0</v>
      </c>
      <c r="I33" s="57"/>
      <c r="K33" s="62"/>
      <c r="M33" s="90"/>
      <c r="N33" s="13"/>
      <c r="AMI33" s="59"/>
    </row>
    <row r="34" spans="1:1023" s="42" customFormat="1" ht="60" x14ac:dyDescent="0.25">
      <c r="A34" s="48" t="s">
        <v>264</v>
      </c>
      <c r="B34" s="49" t="s">
        <v>304</v>
      </c>
      <c r="C34" s="51">
        <v>92759</v>
      </c>
      <c r="D34" s="51" t="s">
        <v>258</v>
      </c>
      <c r="E34" s="40">
        <v>88</v>
      </c>
      <c r="F34" s="234"/>
      <c r="G34" s="24">
        <f>ROUND(F34*J$1,2)</f>
        <v>0</v>
      </c>
      <c r="H34" s="24">
        <f t="shared" ref="H34:H38" si="3">ROUND(E34*G34,2)</f>
        <v>0</v>
      </c>
      <c r="I34" s="41"/>
      <c r="K34" s="61"/>
      <c r="M34" s="92"/>
      <c r="N34" s="13"/>
      <c r="AMI34" s="43"/>
    </row>
    <row r="35" spans="1:1023" s="42" customFormat="1" ht="60" x14ac:dyDescent="0.25">
      <c r="A35" s="48" t="s">
        <v>267</v>
      </c>
      <c r="B35" s="49" t="s">
        <v>305</v>
      </c>
      <c r="C35" s="51">
        <v>92760</v>
      </c>
      <c r="D35" s="51" t="s">
        <v>258</v>
      </c>
      <c r="E35" s="40">
        <v>23</v>
      </c>
      <c r="F35" s="234"/>
      <c r="G35" s="24">
        <f>ROUND(F35*J$1,2)</f>
        <v>0</v>
      </c>
      <c r="H35" s="24">
        <f t="shared" si="3"/>
        <v>0</v>
      </c>
      <c r="I35" s="41"/>
      <c r="K35" s="61"/>
      <c r="M35" s="92"/>
      <c r="N35" s="13"/>
      <c r="AMI35" s="43"/>
    </row>
    <row r="36" spans="1:1023" s="42" customFormat="1" ht="60" x14ac:dyDescent="0.25">
      <c r="A36" s="48" t="s">
        <v>278</v>
      </c>
      <c r="B36" s="49" t="s">
        <v>307</v>
      </c>
      <c r="C36" s="51">
        <v>92762</v>
      </c>
      <c r="D36" s="51" t="s">
        <v>258</v>
      </c>
      <c r="E36" s="40">
        <v>235</v>
      </c>
      <c r="F36" s="234"/>
      <c r="G36" s="24">
        <f>ROUND(F36*J$1,2)</f>
        <v>0</v>
      </c>
      <c r="H36" s="24">
        <f t="shared" si="3"/>
        <v>0</v>
      </c>
      <c r="I36" s="41"/>
      <c r="K36" s="61"/>
      <c r="M36" s="92"/>
      <c r="N36" s="13"/>
      <c r="AMI36" s="43"/>
    </row>
    <row r="37" spans="1:1023" s="42" customFormat="1" ht="45" x14ac:dyDescent="0.25">
      <c r="A37" s="48" t="s">
        <v>279</v>
      </c>
      <c r="B37" s="49" t="s">
        <v>309</v>
      </c>
      <c r="C37" s="51">
        <v>103672</v>
      </c>
      <c r="D37" s="51" t="s">
        <v>26</v>
      </c>
      <c r="E37" s="40">
        <v>3.28</v>
      </c>
      <c r="F37" s="234"/>
      <c r="G37" s="24">
        <f>ROUND(F37*J$1,2)</f>
        <v>0</v>
      </c>
      <c r="H37" s="24">
        <f t="shared" si="3"/>
        <v>0</v>
      </c>
      <c r="I37" s="41"/>
      <c r="K37" s="61"/>
      <c r="M37" s="92"/>
      <c r="N37" s="13"/>
      <c r="AMI37" s="43"/>
    </row>
    <row r="38" spans="1:1023" s="42" customFormat="1" ht="75" x14ac:dyDescent="0.25">
      <c r="A38" s="48" t="s">
        <v>280</v>
      </c>
      <c r="B38" s="49" t="s">
        <v>297</v>
      </c>
      <c r="C38" s="51">
        <v>92419</v>
      </c>
      <c r="D38" s="51" t="s">
        <v>15</v>
      </c>
      <c r="E38" s="40">
        <v>63.21</v>
      </c>
      <c r="F38" s="234"/>
      <c r="G38" s="24">
        <f>ROUND(F38*J$1,2)</f>
        <v>0</v>
      </c>
      <c r="H38" s="24">
        <f t="shared" si="3"/>
        <v>0</v>
      </c>
      <c r="I38" s="41"/>
      <c r="M38" s="92"/>
      <c r="N38" s="13"/>
      <c r="AMI38" s="43"/>
    </row>
    <row r="39" spans="1:1023" s="58" customFormat="1" x14ac:dyDescent="0.25">
      <c r="A39" s="63" t="s">
        <v>29</v>
      </c>
      <c r="B39" s="64" t="s">
        <v>262</v>
      </c>
      <c r="C39" s="63"/>
      <c r="D39" s="63"/>
      <c r="E39" s="65"/>
      <c r="F39" s="65"/>
      <c r="G39" s="65"/>
      <c r="H39" s="65">
        <f>SUM(H40:H46)</f>
        <v>0</v>
      </c>
      <c r="I39" s="57"/>
      <c r="M39" s="90"/>
      <c r="N39" s="13"/>
      <c r="AMI39" s="59"/>
    </row>
    <row r="40" spans="1:1023" s="42" customFormat="1" ht="60" x14ac:dyDescent="0.25">
      <c r="A40" s="48" t="s">
        <v>265</v>
      </c>
      <c r="B40" s="49" t="s">
        <v>304</v>
      </c>
      <c r="C40" s="51">
        <v>92759</v>
      </c>
      <c r="D40" s="51" t="s">
        <v>258</v>
      </c>
      <c r="E40" s="40">
        <v>156</v>
      </c>
      <c r="F40" s="234"/>
      <c r="G40" s="24">
        <f t="shared" ref="G40:G46" si="4">ROUND(F40*J$1,2)</f>
        <v>0</v>
      </c>
      <c r="H40" s="24">
        <f t="shared" ref="H40:H46" si="5">ROUND(E40*G40,2)</f>
        <v>0</v>
      </c>
      <c r="I40" s="41"/>
      <c r="M40" s="92"/>
      <c r="N40" s="13"/>
      <c r="AMI40" s="43"/>
    </row>
    <row r="41" spans="1:1023" s="42" customFormat="1" ht="60" x14ac:dyDescent="0.25">
      <c r="A41" s="48" t="s">
        <v>268</v>
      </c>
      <c r="B41" s="49" t="s">
        <v>305</v>
      </c>
      <c r="C41" s="51">
        <v>92760</v>
      </c>
      <c r="D41" s="51" t="s">
        <v>258</v>
      </c>
      <c r="E41" s="40">
        <v>139</v>
      </c>
      <c r="F41" s="234"/>
      <c r="G41" s="24">
        <f t="shared" si="4"/>
        <v>0</v>
      </c>
      <c r="H41" s="24">
        <f t="shared" si="5"/>
        <v>0</v>
      </c>
      <c r="I41" s="41"/>
      <c r="M41" s="92"/>
      <c r="N41" s="13"/>
      <c r="AMI41" s="43"/>
    </row>
    <row r="42" spans="1:1023" s="42" customFormat="1" ht="60" x14ac:dyDescent="0.25">
      <c r="A42" s="48" t="s">
        <v>269</v>
      </c>
      <c r="B42" s="49" t="s">
        <v>306</v>
      </c>
      <c r="C42" s="51">
        <v>92761</v>
      </c>
      <c r="D42" s="51" t="s">
        <v>258</v>
      </c>
      <c r="E42" s="40">
        <v>206</v>
      </c>
      <c r="F42" s="234"/>
      <c r="G42" s="24">
        <f t="shared" si="4"/>
        <v>0</v>
      </c>
      <c r="H42" s="24">
        <f t="shared" si="5"/>
        <v>0</v>
      </c>
      <c r="I42" s="41"/>
      <c r="M42" s="92"/>
      <c r="N42" s="13"/>
      <c r="AMI42" s="43"/>
    </row>
    <row r="43" spans="1:1023" s="42" customFormat="1" ht="60" x14ac:dyDescent="0.25">
      <c r="A43" s="48" t="s">
        <v>270</v>
      </c>
      <c r="B43" s="49" t="s">
        <v>307</v>
      </c>
      <c r="C43" s="51">
        <v>92762</v>
      </c>
      <c r="D43" s="51" t="s">
        <v>258</v>
      </c>
      <c r="E43" s="40">
        <v>72</v>
      </c>
      <c r="F43" s="234"/>
      <c r="G43" s="24">
        <f t="shared" si="4"/>
        <v>0</v>
      </c>
      <c r="H43" s="24">
        <f t="shared" si="5"/>
        <v>0</v>
      </c>
      <c r="I43" s="41"/>
      <c r="M43" s="92"/>
      <c r="N43" s="13"/>
      <c r="AMI43" s="43"/>
    </row>
    <row r="44" spans="1:1023" s="42" customFormat="1" ht="60" x14ac:dyDescent="0.25">
      <c r="A44" s="48" t="s">
        <v>271</v>
      </c>
      <c r="B44" s="49" t="s">
        <v>308</v>
      </c>
      <c r="C44" s="51">
        <v>92763</v>
      </c>
      <c r="D44" s="51" t="s">
        <v>258</v>
      </c>
      <c r="E44" s="40">
        <v>45</v>
      </c>
      <c r="F44" s="234"/>
      <c r="G44" s="24">
        <f t="shared" si="4"/>
        <v>0</v>
      </c>
      <c r="H44" s="24">
        <f t="shared" si="5"/>
        <v>0</v>
      </c>
      <c r="I44" s="41"/>
      <c r="M44" s="92"/>
      <c r="N44" s="13"/>
      <c r="AMI44" s="43"/>
    </row>
    <row r="45" spans="1:1023" s="42" customFormat="1" ht="64.5" customHeight="1" x14ac:dyDescent="0.25">
      <c r="A45" s="48" t="s">
        <v>272</v>
      </c>
      <c r="B45" s="49" t="s">
        <v>303</v>
      </c>
      <c r="C45" s="51">
        <v>103675</v>
      </c>
      <c r="D45" s="51" t="s">
        <v>26</v>
      </c>
      <c r="E45" s="40">
        <v>16.41</v>
      </c>
      <c r="F45" s="234"/>
      <c r="G45" s="24">
        <f t="shared" si="4"/>
        <v>0</v>
      </c>
      <c r="H45" s="24">
        <f t="shared" si="5"/>
        <v>0</v>
      </c>
      <c r="I45" s="41"/>
      <c r="M45" s="92"/>
      <c r="N45" s="13"/>
      <c r="AMI45" s="43"/>
    </row>
    <row r="46" spans="1:1023" s="42" customFormat="1" ht="60" x14ac:dyDescent="0.25">
      <c r="A46" s="48" t="s">
        <v>273</v>
      </c>
      <c r="B46" s="49" t="s">
        <v>298</v>
      </c>
      <c r="C46" s="51">
        <v>92456</v>
      </c>
      <c r="D46" s="51" t="s">
        <v>15</v>
      </c>
      <c r="E46" s="40">
        <v>220.54</v>
      </c>
      <c r="F46" s="234"/>
      <c r="G46" s="24">
        <f t="shared" si="4"/>
        <v>0</v>
      </c>
      <c r="H46" s="24">
        <f t="shared" si="5"/>
        <v>0</v>
      </c>
      <c r="I46" s="41"/>
      <c r="M46" s="92"/>
      <c r="N46" s="13"/>
      <c r="AMI46" s="43"/>
    </row>
    <row r="47" spans="1:1023" s="58" customFormat="1" x14ac:dyDescent="0.25">
      <c r="A47" s="63" t="s">
        <v>31</v>
      </c>
      <c r="B47" s="64" t="s">
        <v>263</v>
      </c>
      <c r="C47" s="63"/>
      <c r="D47" s="63"/>
      <c r="E47" s="65"/>
      <c r="F47" s="65"/>
      <c r="G47" s="65"/>
      <c r="H47" s="65">
        <f>SUM(H48:H52)</f>
        <v>0</v>
      </c>
      <c r="I47" s="57"/>
      <c r="M47" s="90"/>
      <c r="N47" s="13"/>
      <c r="AMI47" s="59"/>
    </row>
    <row r="48" spans="1:1023" s="42" customFormat="1" ht="60" x14ac:dyDescent="0.25">
      <c r="A48" s="48" t="s">
        <v>266</v>
      </c>
      <c r="B48" s="49" t="s">
        <v>300</v>
      </c>
      <c r="C48" s="51">
        <v>92768</v>
      </c>
      <c r="D48" s="51" t="s">
        <v>258</v>
      </c>
      <c r="E48" s="40">
        <v>119</v>
      </c>
      <c r="F48" s="234"/>
      <c r="G48" s="24">
        <f>ROUND(F48*J$1,2)</f>
        <v>0</v>
      </c>
      <c r="H48" s="24">
        <f t="shared" ref="H48:H52" si="6">ROUND(E48*G48,2)</f>
        <v>0</v>
      </c>
      <c r="I48" s="41"/>
      <c r="M48" s="92"/>
      <c r="N48" s="13"/>
      <c r="AMI48" s="43"/>
    </row>
    <row r="49" spans="1:1023" s="42" customFormat="1" ht="60" x14ac:dyDescent="0.25">
      <c r="A49" s="48" t="s">
        <v>274</v>
      </c>
      <c r="B49" s="49" t="s">
        <v>301</v>
      </c>
      <c r="C49" s="51">
        <v>92769</v>
      </c>
      <c r="D49" s="51" t="s">
        <v>258</v>
      </c>
      <c r="E49" s="40">
        <v>468</v>
      </c>
      <c r="F49" s="234"/>
      <c r="G49" s="24">
        <f>ROUND(F49*J$1,2)</f>
        <v>0</v>
      </c>
      <c r="H49" s="24">
        <f t="shared" si="6"/>
        <v>0</v>
      </c>
      <c r="I49" s="41"/>
      <c r="M49" s="92"/>
      <c r="N49" s="13"/>
      <c r="AMI49" s="43"/>
    </row>
    <row r="50" spans="1:1023" s="42" customFormat="1" ht="60" x14ac:dyDescent="0.25">
      <c r="A50" s="48" t="s">
        <v>275</v>
      </c>
      <c r="B50" s="49" t="s">
        <v>302</v>
      </c>
      <c r="C50" s="51">
        <v>92770</v>
      </c>
      <c r="D50" s="51" t="s">
        <v>258</v>
      </c>
      <c r="E50" s="40">
        <v>342</v>
      </c>
      <c r="F50" s="234"/>
      <c r="G50" s="24">
        <f>ROUND(F50*J$1,2)</f>
        <v>0</v>
      </c>
      <c r="H50" s="24">
        <f t="shared" si="6"/>
        <v>0</v>
      </c>
      <c r="I50" s="41"/>
      <c r="M50" s="92"/>
      <c r="N50" s="13"/>
      <c r="AMI50" s="43"/>
    </row>
    <row r="51" spans="1:1023" s="42" customFormat="1" ht="61.5" customHeight="1" x14ac:dyDescent="0.25">
      <c r="A51" s="48" t="s">
        <v>276</v>
      </c>
      <c r="B51" s="49" t="s">
        <v>303</v>
      </c>
      <c r="C51" s="51">
        <v>103675</v>
      </c>
      <c r="D51" s="51" t="s">
        <v>26</v>
      </c>
      <c r="E51" s="40">
        <v>16.93</v>
      </c>
      <c r="F51" s="234"/>
      <c r="G51" s="24">
        <f>ROUND(F51*J$1,2)</f>
        <v>0</v>
      </c>
      <c r="H51" s="24">
        <f t="shared" si="6"/>
        <v>0</v>
      </c>
      <c r="I51" s="41"/>
      <c r="M51" s="92"/>
      <c r="N51" s="13"/>
      <c r="AMI51" s="43"/>
    </row>
    <row r="52" spans="1:1023" s="42" customFormat="1" ht="60" x14ac:dyDescent="0.25">
      <c r="A52" s="48" t="s">
        <v>277</v>
      </c>
      <c r="B52" s="49" t="s">
        <v>299</v>
      </c>
      <c r="C52" s="51">
        <v>92514</v>
      </c>
      <c r="D52" s="51" t="s">
        <v>15</v>
      </c>
      <c r="E52" s="40">
        <v>132.27000000000001</v>
      </c>
      <c r="F52" s="234"/>
      <c r="G52" s="24">
        <f>ROUND(F52*J$1,2)</f>
        <v>0</v>
      </c>
      <c r="H52" s="24">
        <f t="shared" si="6"/>
        <v>0</v>
      </c>
      <c r="I52" s="41"/>
      <c r="M52" s="92"/>
      <c r="N52" s="13"/>
      <c r="AMI52" s="43"/>
    </row>
    <row r="53" spans="1:1023" s="5" customFormat="1" ht="34.5" customHeight="1" x14ac:dyDescent="0.25">
      <c r="A53" s="18">
        <v>4</v>
      </c>
      <c r="B53" s="67" t="s">
        <v>387</v>
      </c>
      <c r="C53" s="26"/>
      <c r="D53" s="27"/>
      <c r="E53" s="28"/>
      <c r="F53" s="28"/>
      <c r="G53" s="28"/>
      <c r="H53" s="8">
        <f>SUM(H54:H59)</f>
        <v>0</v>
      </c>
      <c r="I53" s="22"/>
      <c r="M53" s="89"/>
      <c r="N53" s="13"/>
      <c r="AMI53"/>
    </row>
    <row r="54" spans="1:1023" s="5" customFormat="1" ht="75.75" customHeight="1" x14ac:dyDescent="0.25">
      <c r="A54" s="29" t="s">
        <v>33</v>
      </c>
      <c r="B54" s="95" t="s">
        <v>746</v>
      </c>
      <c r="C54" s="51">
        <v>103334</v>
      </c>
      <c r="D54" s="97" t="s">
        <v>15</v>
      </c>
      <c r="E54" s="46">
        <f>ROUND((2*25.85+8*3.4+1.3)*(3-(0.45+0.05))+(25.85*(0.45+0.1)+2*0.91)-((E244+E279+E326+E363+E401+E440+E466)+(E246+E281+E328+E403)*(0.8*2.1)),2)</f>
        <v>201.12</v>
      </c>
      <c r="F54" s="235"/>
      <c r="G54" s="24">
        <f t="shared" ref="G54:G59" si="7">ROUND(F54*J$1,2)</f>
        <v>0</v>
      </c>
      <c r="H54" s="24">
        <f t="shared" ref="H54:H59" si="8">ROUND(E54*G54,2)</f>
        <v>0</v>
      </c>
      <c r="I54" s="22"/>
      <c r="M54" s="89"/>
      <c r="N54" s="13"/>
      <c r="AMI54"/>
    </row>
    <row r="55" spans="1:1023" s="5" customFormat="1" ht="90" x14ac:dyDescent="0.25">
      <c r="A55" s="29" t="s">
        <v>34</v>
      </c>
      <c r="B55" s="95" t="s">
        <v>35</v>
      </c>
      <c r="C55" s="51">
        <v>87900</v>
      </c>
      <c r="D55" s="97" t="s">
        <v>15</v>
      </c>
      <c r="E55" s="46">
        <f>ROUND((2*25.85+8*3.4+1.3)*(3)+1*(25.85*(0.45+0.1)+2*0.91)-((E244+E279+E326+E363+E401+E440+E466)+(E246+E281+E328+E403)*(0.8*2.1)),2)</f>
        <v>241.22</v>
      </c>
      <c r="F55" s="235"/>
      <c r="G55" s="24">
        <f t="shared" si="7"/>
        <v>0</v>
      </c>
      <c r="H55" s="24">
        <f t="shared" si="8"/>
        <v>0</v>
      </c>
      <c r="I55" s="22"/>
      <c r="M55" s="89"/>
      <c r="N55" s="13"/>
      <c r="AMI55"/>
    </row>
    <row r="56" spans="1:1023" s="5" customFormat="1" ht="75" x14ac:dyDescent="0.25">
      <c r="A56" s="29" t="s">
        <v>36</v>
      </c>
      <c r="B56" s="95" t="s">
        <v>37</v>
      </c>
      <c r="C56" s="51">
        <v>87775</v>
      </c>
      <c r="D56" s="97" t="s">
        <v>15</v>
      </c>
      <c r="E56" s="46">
        <f>E55</f>
        <v>241.22</v>
      </c>
      <c r="F56" s="235"/>
      <c r="G56" s="24">
        <f t="shared" si="7"/>
        <v>0</v>
      </c>
      <c r="H56" s="24">
        <f t="shared" si="8"/>
        <v>0</v>
      </c>
      <c r="I56" s="22"/>
      <c r="M56" s="89"/>
      <c r="N56" s="13"/>
      <c r="AMI56"/>
    </row>
    <row r="57" spans="1:1023" s="5" customFormat="1" ht="30" x14ac:dyDescent="0.25">
      <c r="A57" s="29" t="s">
        <v>38</v>
      </c>
      <c r="B57" s="95" t="s">
        <v>39</v>
      </c>
      <c r="C57" s="51">
        <v>88415</v>
      </c>
      <c r="D57" s="97" t="s">
        <v>15</v>
      </c>
      <c r="E57" s="46">
        <f>E55</f>
        <v>241.22</v>
      </c>
      <c r="F57" s="235"/>
      <c r="G57" s="24">
        <f t="shared" si="7"/>
        <v>0</v>
      </c>
      <c r="H57" s="24">
        <f t="shared" si="8"/>
        <v>0</v>
      </c>
      <c r="I57" s="22"/>
      <c r="M57" s="89"/>
      <c r="N57" s="13"/>
      <c r="AMI57"/>
    </row>
    <row r="58" spans="1:1023" s="5" customFormat="1" ht="45" x14ac:dyDescent="0.25">
      <c r="A58" s="29" t="s">
        <v>40</v>
      </c>
      <c r="B58" s="95" t="s">
        <v>41</v>
      </c>
      <c r="C58" s="51">
        <v>95626</v>
      </c>
      <c r="D58" s="97" t="s">
        <v>15</v>
      </c>
      <c r="E58" s="46">
        <f>E55</f>
        <v>241.22</v>
      </c>
      <c r="F58" s="235"/>
      <c r="G58" s="24">
        <f t="shared" si="7"/>
        <v>0</v>
      </c>
      <c r="H58" s="24">
        <f t="shared" si="8"/>
        <v>0</v>
      </c>
      <c r="I58" s="22"/>
      <c r="M58" s="89"/>
      <c r="N58" s="13"/>
      <c r="AMI58"/>
    </row>
    <row r="59" spans="1:1023" s="5" customFormat="1" ht="45" x14ac:dyDescent="0.25">
      <c r="A59" s="29" t="s">
        <v>42</v>
      </c>
      <c r="B59" s="95" t="s">
        <v>43</v>
      </c>
      <c r="C59" s="51">
        <v>93203</v>
      </c>
      <c r="D59" s="97" t="s">
        <v>18</v>
      </c>
      <c r="E59" s="46">
        <f>(2*25.85+8*3.4+1.3)</f>
        <v>80.2</v>
      </c>
      <c r="F59" s="235"/>
      <c r="G59" s="24">
        <f t="shared" si="7"/>
        <v>0</v>
      </c>
      <c r="H59" s="24">
        <f t="shared" si="8"/>
        <v>0</v>
      </c>
      <c r="I59" s="22"/>
      <c r="M59" s="89"/>
      <c r="N59" s="13"/>
      <c r="AMI59"/>
    </row>
    <row r="60" spans="1:1023" s="5" customFormat="1" ht="30" x14ac:dyDescent="0.25">
      <c r="A60" s="18">
        <v>5</v>
      </c>
      <c r="B60" s="19" t="s">
        <v>44</v>
      </c>
      <c r="C60" s="26"/>
      <c r="D60" s="27"/>
      <c r="E60" s="28"/>
      <c r="F60" s="28"/>
      <c r="G60" s="28"/>
      <c r="H60" s="8">
        <f>SUM(H61:H65)</f>
        <v>0</v>
      </c>
      <c r="I60" s="30"/>
      <c r="M60" s="89"/>
      <c r="N60" s="13"/>
      <c r="AMI60"/>
    </row>
    <row r="61" spans="1:1023" s="5" customFormat="1" ht="75" x14ac:dyDescent="0.25">
      <c r="A61" s="29" t="s">
        <v>45</v>
      </c>
      <c r="B61" s="95" t="s">
        <v>46</v>
      </c>
      <c r="C61" s="51">
        <v>101161</v>
      </c>
      <c r="D61" s="97" t="s">
        <v>15</v>
      </c>
      <c r="E61" s="46">
        <f>(1.15+1.85+8.9+6.05+1.15)*2</f>
        <v>38.199999999999996</v>
      </c>
      <c r="F61" s="235"/>
      <c r="G61" s="24">
        <f>ROUND(F61*J$1,2)</f>
        <v>0</v>
      </c>
      <c r="H61" s="24">
        <f t="shared" ref="H61:H65" si="9">ROUND(E61*G61,2)</f>
        <v>0</v>
      </c>
      <c r="I61" s="22"/>
      <c r="M61" s="89"/>
      <c r="N61" s="13"/>
      <c r="AMI61"/>
    </row>
    <row r="62" spans="1:1023" s="5" customFormat="1" ht="65.25" customHeight="1" x14ac:dyDescent="0.25">
      <c r="A62" s="29" t="s">
        <v>47</v>
      </c>
      <c r="B62" s="83" t="s">
        <v>51</v>
      </c>
      <c r="C62" s="98">
        <v>87882</v>
      </c>
      <c r="D62" s="99" t="s">
        <v>15</v>
      </c>
      <c r="E62" s="85">
        <f>ROUND((1.3*4.25+2.3*8.9+1.3*12.7),2)</f>
        <v>42.51</v>
      </c>
      <c r="F62" s="236"/>
      <c r="G62" s="24">
        <f>ROUND(F62*J$1,2)</f>
        <v>0</v>
      </c>
      <c r="H62" s="24">
        <f t="shared" si="9"/>
        <v>0</v>
      </c>
      <c r="I62" s="22"/>
      <c r="M62" s="89"/>
      <c r="N62" s="13"/>
      <c r="AMI62"/>
    </row>
    <row r="63" spans="1:1023" s="5" customFormat="1" ht="60" x14ac:dyDescent="0.25">
      <c r="A63" s="29" t="s">
        <v>48</v>
      </c>
      <c r="B63" s="83" t="s">
        <v>52</v>
      </c>
      <c r="C63" s="98">
        <v>87411</v>
      </c>
      <c r="D63" s="99" t="s">
        <v>15</v>
      </c>
      <c r="E63" s="85">
        <f>E62</f>
        <v>42.51</v>
      </c>
      <c r="F63" s="236"/>
      <c r="G63" s="24">
        <f>ROUND(F63*J$1,2)</f>
        <v>0</v>
      </c>
      <c r="H63" s="24">
        <f t="shared" si="9"/>
        <v>0</v>
      </c>
      <c r="I63" s="22"/>
      <c r="M63" s="89"/>
      <c r="N63" s="13"/>
      <c r="AMI63"/>
    </row>
    <row r="64" spans="1:1023" s="5" customFormat="1" ht="30" x14ac:dyDescent="0.25">
      <c r="A64" s="29" t="s">
        <v>49</v>
      </c>
      <c r="B64" s="95" t="s">
        <v>53</v>
      </c>
      <c r="C64" s="51">
        <v>88484</v>
      </c>
      <c r="D64" s="97" t="s">
        <v>15</v>
      </c>
      <c r="E64" s="46">
        <f>E62</f>
        <v>42.51</v>
      </c>
      <c r="F64" s="235"/>
      <c r="G64" s="24">
        <f>ROUND(F64*J$1,2)</f>
        <v>0</v>
      </c>
      <c r="H64" s="24">
        <f t="shared" si="9"/>
        <v>0</v>
      </c>
      <c r="I64" s="22"/>
      <c r="M64" s="89"/>
      <c r="N64" s="13"/>
      <c r="AMI64"/>
    </row>
    <row r="65" spans="1:1023" s="5" customFormat="1" ht="41.25" customHeight="1" x14ac:dyDescent="0.25">
      <c r="A65" s="29" t="s">
        <v>50</v>
      </c>
      <c r="B65" s="95" t="s">
        <v>745</v>
      </c>
      <c r="C65" s="51">
        <v>88488</v>
      </c>
      <c r="D65" s="97" t="s">
        <v>15</v>
      </c>
      <c r="E65" s="46">
        <f>E62</f>
        <v>42.51</v>
      </c>
      <c r="F65" s="236"/>
      <c r="G65" s="24">
        <f>ROUND(F65*J$1,2)</f>
        <v>0</v>
      </c>
      <c r="H65" s="24">
        <f t="shared" si="9"/>
        <v>0</v>
      </c>
      <c r="I65" s="22"/>
      <c r="M65" s="89"/>
      <c r="N65" s="13"/>
      <c r="AMI65"/>
    </row>
    <row r="66" spans="1:1023" s="5" customFormat="1" ht="30" x14ac:dyDescent="0.25">
      <c r="A66" s="18">
        <v>6</v>
      </c>
      <c r="B66" s="67" t="s">
        <v>386</v>
      </c>
      <c r="C66" s="26"/>
      <c r="D66" s="27"/>
      <c r="E66" s="27"/>
      <c r="F66" s="28"/>
      <c r="G66" s="28"/>
      <c r="H66" s="8">
        <f>SUM(H67:H69)</f>
        <v>0</v>
      </c>
      <c r="I66" s="22"/>
      <c r="M66" s="89"/>
      <c r="N66" s="13"/>
      <c r="AMI66"/>
    </row>
    <row r="67" spans="1:1023" s="5" customFormat="1" ht="75" x14ac:dyDescent="0.25">
      <c r="A67" s="29" t="s">
        <v>55</v>
      </c>
      <c r="B67" s="23" t="s">
        <v>56</v>
      </c>
      <c r="C67" s="29">
        <v>92543</v>
      </c>
      <c r="D67" s="25" t="s">
        <v>15</v>
      </c>
      <c r="E67" s="46">
        <f>ROUND((4.4*26.85)-(2.7*4.25),2)</f>
        <v>106.67</v>
      </c>
      <c r="F67" s="235"/>
      <c r="G67" s="24">
        <f>ROUND(F67*J$1,2)</f>
        <v>0</v>
      </c>
      <c r="H67" s="24">
        <f t="shared" ref="H67:H69" si="10">ROUND(E67*G67,2)</f>
        <v>0</v>
      </c>
      <c r="I67" s="22"/>
      <c r="M67" s="89"/>
      <c r="N67" s="13"/>
      <c r="AMI67"/>
    </row>
    <row r="68" spans="1:1023" s="5" customFormat="1" ht="77.25" customHeight="1" x14ac:dyDescent="0.25">
      <c r="A68" s="29" t="s">
        <v>57</v>
      </c>
      <c r="B68" s="23" t="s">
        <v>58</v>
      </c>
      <c r="C68" s="29">
        <v>94210</v>
      </c>
      <c r="D68" s="25" t="s">
        <v>15</v>
      </c>
      <c r="E68" s="24">
        <f>E67</f>
        <v>106.67</v>
      </c>
      <c r="F68" s="235"/>
      <c r="G68" s="24">
        <f>ROUND(F68*J$1,2)</f>
        <v>0</v>
      </c>
      <c r="H68" s="24">
        <f t="shared" si="10"/>
        <v>0</v>
      </c>
      <c r="I68" s="22"/>
      <c r="M68" s="89"/>
      <c r="N68" s="13"/>
      <c r="AMI68"/>
    </row>
    <row r="69" spans="1:1023" s="10" customFormat="1" ht="45" x14ac:dyDescent="0.25">
      <c r="A69" s="29" t="s">
        <v>59</v>
      </c>
      <c r="B69" s="23" t="s">
        <v>60</v>
      </c>
      <c r="C69" s="29">
        <v>94228</v>
      </c>
      <c r="D69" s="25" t="s">
        <v>18</v>
      </c>
      <c r="E69" s="24">
        <v>26.85</v>
      </c>
      <c r="F69" s="235"/>
      <c r="G69" s="24">
        <f>ROUND(F69*J$1,2)</f>
        <v>0</v>
      </c>
      <c r="H69" s="24">
        <f t="shared" si="10"/>
        <v>0</v>
      </c>
      <c r="I69" s="22"/>
      <c r="M69" s="89"/>
      <c r="N69" s="13"/>
      <c r="AMI69"/>
    </row>
    <row r="70" spans="1:1023" s="5" customFormat="1" x14ac:dyDescent="0.25">
      <c r="A70" s="18">
        <v>7</v>
      </c>
      <c r="B70" s="19" t="s">
        <v>61</v>
      </c>
      <c r="C70" s="26"/>
      <c r="D70" s="27"/>
      <c r="E70" s="28"/>
      <c r="F70" s="28"/>
      <c r="G70" s="28"/>
      <c r="H70" s="8">
        <f>SUM(H71:H82)</f>
        <v>0</v>
      </c>
      <c r="I70" s="22"/>
      <c r="M70" s="89"/>
      <c r="N70" s="13"/>
      <c r="AMI70"/>
    </row>
    <row r="71" spans="1:1023" s="5" customFormat="1" ht="30" x14ac:dyDescent="0.25">
      <c r="A71" s="29" t="s">
        <v>62</v>
      </c>
      <c r="B71" s="23" t="s">
        <v>63</v>
      </c>
      <c r="C71" s="29">
        <v>102607</v>
      </c>
      <c r="D71" s="25" t="s">
        <v>8</v>
      </c>
      <c r="E71" s="24">
        <v>2</v>
      </c>
      <c r="F71" s="235"/>
      <c r="G71" s="24">
        <f t="shared" ref="G71:G82" si="11">ROUND(F71*J$1,2)</f>
        <v>0</v>
      </c>
      <c r="H71" s="24">
        <f t="shared" ref="H71:H82" si="12">ROUND(E71*G71,2)</f>
        <v>0</v>
      </c>
      <c r="I71" s="22"/>
      <c r="M71" s="89"/>
      <c r="N71" s="13"/>
      <c r="AMI71"/>
    </row>
    <row r="72" spans="1:1023" s="5" customFormat="1" ht="75" x14ac:dyDescent="0.25">
      <c r="A72" s="29" t="s">
        <v>64</v>
      </c>
      <c r="B72" s="23" t="s">
        <v>65</v>
      </c>
      <c r="C72" s="29">
        <v>101964</v>
      </c>
      <c r="D72" s="25" t="s">
        <v>15</v>
      </c>
      <c r="E72" s="46">
        <f>ROUND(2.7*4.25,2)</f>
        <v>11.48</v>
      </c>
      <c r="F72" s="235"/>
      <c r="G72" s="24">
        <f t="shared" si="11"/>
        <v>0</v>
      </c>
      <c r="H72" s="24">
        <f t="shared" si="12"/>
        <v>0</v>
      </c>
      <c r="I72" s="22"/>
      <c r="M72" s="89"/>
      <c r="N72" s="13"/>
      <c r="AMI72"/>
    </row>
    <row r="73" spans="1:1023" s="5" customFormat="1" ht="75" x14ac:dyDescent="0.25">
      <c r="A73" s="29" t="s">
        <v>66</v>
      </c>
      <c r="B73" s="23" t="s">
        <v>56</v>
      </c>
      <c r="C73" s="29">
        <v>92543</v>
      </c>
      <c r="D73" s="25" t="s">
        <v>15</v>
      </c>
      <c r="E73" s="46">
        <f>ROUND(3.3*4.85,2)</f>
        <v>16.010000000000002</v>
      </c>
      <c r="F73" s="235"/>
      <c r="G73" s="24">
        <f t="shared" si="11"/>
        <v>0</v>
      </c>
      <c r="H73" s="24">
        <f t="shared" si="12"/>
        <v>0</v>
      </c>
      <c r="I73" s="22"/>
      <c r="M73" s="89"/>
      <c r="N73" s="13"/>
      <c r="AMI73"/>
    </row>
    <row r="74" spans="1:1023" s="5" customFormat="1" ht="75.75" customHeight="1" x14ac:dyDescent="0.25">
      <c r="A74" s="29" t="s">
        <v>67</v>
      </c>
      <c r="B74" s="23" t="s">
        <v>58</v>
      </c>
      <c r="C74" s="29">
        <v>94210</v>
      </c>
      <c r="D74" s="25" t="s">
        <v>15</v>
      </c>
      <c r="E74" s="24">
        <f>E73</f>
        <v>16.010000000000002</v>
      </c>
      <c r="F74" s="235"/>
      <c r="G74" s="24">
        <f t="shared" si="11"/>
        <v>0</v>
      </c>
      <c r="H74" s="24">
        <f t="shared" si="12"/>
        <v>0</v>
      </c>
      <c r="I74" s="22"/>
      <c r="M74" s="89"/>
      <c r="N74" s="13"/>
      <c r="AMI74"/>
    </row>
    <row r="75" spans="1:1023" s="5" customFormat="1" ht="60" x14ac:dyDescent="0.25">
      <c r="A75" s="29" t="s">
        <v>68</v>
      </c>
      <c r="B75" s="23" t="s">
        <v>69</v>
      </c>
      <c r="C75" s="29" t="s">
        <v>70</v>
      </c>
      <c r="D75" s="25" t="s">
        <v>15</v>
      </c>
      <c r="E75" s="24">
        <f>2*((2.7*(2.17+2.43)/2)+(4.25*(2.17+2.43)/2))</f>
        <v>31.97</v>
      </c>
      <c r="F75" s="235"/>
      <c r="G75" s="24">
        <f t="shared" si="11"/>
        <v>0</v>
      </c>
      <c r="H75" s="24">
        <f t="shared" si="12"/>
        <v>0</v>
      </c>
      <c r="I75" s="22"/>
      <c r="K75" s="32"/>
      <c r="M75" s="89"/>
      <c r="N75" s="13"/>
      <c r="AMI75"/>
    </row>
    <row r="76" spans="1:1023" s="5" customFormat="1" ht="90" x14ac:dyDescent="0.25">
      <c r="A76" s="29" t="s">
        <v>71</v>
      </c>
      <c r="B76" s="23" t="s">
        <v>35</v>
      </c>
      <c r="C76" s="29">
        <v>87900</v>
      </c>
      <c r="D76" s="25" t="s">
        <v>15</v>
      </c>
      <c r="E76" s="24">
        <f>E75*2</f>
        <v>63.94</v>
      </c>
      <c r="F76" s="235"/>
      <c r="G76" s="24">
        <f t="shared" si="11"/>
        <v>0</v>
      </c>
      <c r="H76" s="24">
        <f t="shared" si="12"/>
        <v>0</v>
      </c>
      <c r="I76" s="22"/>
      <c r="M76" s="89"/>
      <c r="N76" s="13"/>
      <c r="AMI76"/>
    </row>
    <row r="77" spans="1:1023" s="5" customFormat="1" ht="75" x14ac:dyDescent="0.25">
      <c r="A77" s="29" t="s">
        <v>72</v>
      </c>
      <c r="B77" s="23" t="s">
        <v>37</v>
      </c>
      <c r="C77" s="29">
        <v>87775</v>
      </c>
      <c r="D77" s="25" t="s">
        <v>15</v>
      </c>
      <c r="E77" s="24">
        <f>E76</f>
        <v>63.94</v>
      </c>
      <c r="F77" s="235"/>
      <c r="G77" s="24">
        <f t="shared" si="11"/>
        <v>0</v>
      </c>
      <c r="H77" s="24">
        <f t="shared" si="12"/>
        <v>0</v>
      </c>
      <c r="I77" s="22"/>
      <c r="M77" s="89"/>
      <c r="N77" s="13"/>
      <c r="AMI77"/>
    </row>
    <row r="78" spans="1:1023" s="5" customFormat="1" ht="45" x14ac:dyDescent="0.25">
      <c r="A78" s="29" t="s">
        <v>73</v>
      </c>
      <c r="B78" s="23" t="s">
        <v>74</v>
      </c>
      <c r="C78" s="29">
        <v>88415</v>
      </c>
      <c r="D78" s="25" t="s">
        <v>15</v>
      </c>
      <c r="E78" s="24">
        <f>E75</f>
        <v>31.97</v>
      </c>
      <c r="F78" s="235"/>
      <c r="G78" s="24">
        <f t="shared" si="11"/>
        <v>0</v>
      </c>
      <c r="H78" s="24">
        <f t="shared" si="12"/>
        <v>0</v>
      </c>
      <c r="I78" s="22"/>
      <c r="M78" s="89"/>
      <c r="N78" s="13"/>
      <c r="AMI78"/>
    </row>
    <row r="79" spans="1:1023" s="5" customFormat="1" ht="45" x14ac:dyDescent="0.25">
      <c r="A79" s="29" t="s">
        <v>75</v>
      </c>
      <c r="B79" s="23" t="s">
        <v>76</v>
      </c>
      <c r="C79" s="29">
        <v>95626</v>
      </c>
      <c r="D79" s="25" t="s">
        <v>15</v>
      </c>
      <c r="E79" s="24">
        <f>E75</f>
        <v>31.97</v>
      </c>
      <c r="F79" s="235"/>
      <c r="G79" s="24">
        <f t="shared" si="11"/>
        <v>0</v>
      </c>
      <c r="H79" s="24">
        <f t="shared" si="12"/>
        <v>0</v>
      </c>
      <c r="I79" s="22"/>
      <c r="M79" s="89"/>
      <c r="N79" s="13"/>
      <c r="AMI79"/>
    </row>
    <row r="80" spans="1:1023" s="5" customFormat="1" ht="30" x14ac:dyDescent="0.25">
      <c r="A80" s="29" t="s">
        <v>77</v>
      </c>
      <c r="B80" s="23" t="s">
        <v>78</v>
      </c>
      <c r="C80" s="29">
        <v>100701</v>
      </c>
      <c r="D80" s="25" t="s">
        <v>15</v>
      </c>
      <c r="E80" s="24">
        <f>0.6*1.3</f>
        <v>0.78</v>
      </c>
      <c r="F80" s="235"/>
      <c r="G80" s="24">
        <f t="shared" si="11"/>
        <v>0</v>
      </c>
      <c r="H80" s="24">
        <f t="shared" si="12"/>
        <v>0</v>
      </c>
      <c r="I80" s="22"/>
      <c r="M80" s="89"/>
      <c r="N80" s="13"/>
      <c r="AMI80"/>
    </row>
    <row r="81" spans="1:1023" s="5" customFormat="1" ht="75" x14ac:dyDescent="0.25">
      <c r="A81" s="29" t="s">
        <v>79</v>
      </c>
      <c r="B81" s="23" t="s">
        <v>80</v>
      </c>
      <c r="C81" s="29">
        <v>100722</v>
      </c>
      <c r="D81" s="25" t="s">
        <v>15</v>
      </c>
      <c r="E81" s="24">
        <f>E80*2</f>
        <v>1.56</v>
      </c>
      <c r="F81" s="235"/>
      <c r="G81" s="24">
        <f t="shared" si="11"/>
        <v>0</v>
      </c>
      <c r="H81" s="24">
        <f t="shared" si="12"/>
        <v>0</v>
      </c>
      <c r="I81" s="22"/>
      <c r="M81" s="89"/>
      <c r="N81" s="13"/>
      <c r="AMI81"/>
    </row>
    <row r="82" spans="1:1023" s="5" customFormat="1" ht="90" x14ac:dyDescent="0.25">
      <c r="A82" s="29" t="s">
        <v>81</v>
      </c>
      <c r="B82" s="23" t="s">
        <v>82</v>
      </c>
      <c r="C82" s="29">
        <v>100742</v>
      </c>
      <c r="D82" s="25" t="s">
        <v>15</v>
      </c>
      <c r="E82" s="24">
        <f>2*E80*2</f>
        <v>3.12</v>
      </c>
      <c r="F82" s="235"/>
      <c r="G82" s="24">
        <f t="shared" si="11"/>
        <v>0</v>
      </c>
      <c r="H82" s="24">
        <f t="shared" si="12"/>
        <v>0</v>
      </c>
      <c r="I82" s="22"/>
      <c r="M82" s="89"/>
      <c r="N82" s="13"/>
      <c r="AMI82"/>
    </row>
    <row r="83" spans="1:1023" s="5" customFormat="1" x14ac:dyDescent="0.25">
      <c r="A83" s="18">
        <v>8</v>
      </c>
      <c r="B83" s="19" t="s">
        <v>83</v>
      </c>
      <c r="C83" s="26"/>
      <c r="D83" s="27"/>
      <c r="E83" s="28"/>
      <c r="F83" s="28"/>
      <c r="G83" s="28"/>
      <c r="H83" s="8">
        <f>SUM(H84:H88)</f>
        <v>0</v>
      </c>
      <c r="I83" s="22"/>
      <c r="M83" s="89"/>
      <c r="N83" s="13"/>
      <c r="AMI83"/>
    </row>
    <row r="84" spans="1:1023" s="5" customFormat="1" ht="45" x14ac:dyDescent="0.25">
      <c r="A84" s="29" t="s">
        <v>84</v>
      </c>
      <c r="B84" s="23" t="s">
        <v>28</v>
      </c>
      <c r="C84" s="29">
        <v>97084</v>
      </c>
      <c r="D84" s="29" t="s">
        <v>15</v>
      </c>
      <c r="E84" s="46">
        <f>E86</f>
        <v>80.36</v>
      </c>
      <c r="F84" s="235"/>
      <c r="G84" s="24">
        <f>ROUND(F84*J$1,2)</f>
        <v>0</v>
      </c>
      <c r="H84" s="24">
        <f t="shared" ref="H84:H88" si="13">ROUND(E84*G84,2)</f>
        <v>0</v>
      </c>
      <c r="I84" s="22"/>
      <c r="M84" s="89"/>
      <c r="N84" s="13"/>
      <c r="AMI84"/>
    </row>
    <row r="85" spans="1:1023" s="5" customFormat="1" ht="45" x14ac:dyDescent="0.25">
      <c r="A85" s="29" t="s">
        <v>85</v>
      </c>
      <c r="B85" s="23" t="s">
        <v>32</v>
      </c>
      <c r="C85" s="29">
        <v>97086</v>
      </c>
      <c r="D85" s="25" t="s">
        <v>15</v>
      </c>
      <c r="E85" s="46">
        <f>ROUND((2*1.3+25.85+2*1)*0.13,2)</f>
        <v>3.96</v>
      </c>
      <c r="F85" s="235"/>
      <c r="G85" s="24">
        <f>ROUND(F85*J$1,2)</f>
        <v>0</v>
      </c>
      <c r="H85" s="24">
        <f t="shared" si="13"/>
        <v>0</v>
      </c>
      <c r="I85" s="22"/>
      <c r="M85" s="89"/>
      <c r="N85" s="13"/>
      <c r="AMI85"/>
    </row>
    <row r="86" spans="1:1023" s="5" customFormat="1" ht="45" x14ac:dyDescent="0.25">
      <c r="A86" s="29" t="s">
        <v>86</v>
      </c>
      <c r="B86" s="23" t="s">
        <v>30</v>
      </c>
      <c r="C86" s="29">
        <v>95241</v>
      </c>
      <c r="D86" s="25" t="s">
        <v>15</v>
      </c>
      <c r="E86" s="40">
        <f>ROUND((27.85*6+1*8.9)-(25.85*3.7),2)</f>
        <v>80.36</v>
      </c>
      <c r="F86" s="235"/>
      <c r="G86" s="24">
        <f>ROUND(F86*J$1,2)</f>
        <v>0</v>
      </c>
      <c r="H86" s="24">
        <f t="shared" si="13"/>
        <v>0</v>
      </c>
      <c r="I86" s="22"/>
      <c r="M86" s="89"/>
      <c r="N86" s="13"/>
      <c r="AMI86"/>
    </row>
    <row r="87" spans="1:1023" s="5" customFormat="1" ht="60" x14ac:dyDescent="0.25">
      <c r="A87" s="29" t="s">
        <v>87</v>
      </c>
      <c r="B87" s="23" t="s">
        <v>88</v>
      </c>
      <c r="C87" s="29">
        <v>94990</v>
      </c>
      <c r="D87" s="25" t="s">
        <v>26</v>
      </c>
      <c r="E87" s="40">
        <f>ROUND(((27.85*6+1*8.9)-(25.85*3.7))*0.08,2)</f>
        <v>6.43</v>
      </c>
      <c r="F87" s="235"/>
      <c r="G87" s="24">
        <f>ROUND(F87*J$1,2)</f>
        <v>0</v>
      </c>
      <c r="H87" s="24">
        <f t="shared" si="13"/>
        <v>0</v>
      </c>
      <c r="I87" s="22"/>
      <c r="M87" s="89"/>
      <c r="N87" s="13"/>
      <c r="AMI87"/>
    </row>
    <row r="88" spans="1:1023" s="5" customFormat="1" ht="30" x14ac:dyDescent="0.25">
      <c r="A88" s="29" t="s">
        <v>89</v>
      </c>
      <c r="B88" s="23" t="s">
        <v>90</v>
      </c>
      <c r="C88" s="31">
        <v>99814</v>
      </c>
      <c r="D88" s="25" t="s">
        <v>15</v>
      </c>
      <c r="E88" s="24">
        <f>E84</f>
        <v>80.36</v>
      </c>
      <c r="F88" s="235"/>
      <c r="G88" s="24">
        <f>ROUND(F88*J$1,2)</f>
        <v>0</v>
      </c>
      <c r="H88" s="24">
        <f t="shared" si="13"/>
        <v>0</v>
      </c>
      <c r="I88" s="22"/>
      <c r="M88" s="89"/>
      <c r="N88" s="13"/>
      <c r="AMI88"/>
    </row>
    <row r="89" spans="1:1023" s="5" customFormat="1" x14ac:dyDescent="0.25">
      <c r="A89" s="18">
        <v>9</v>
      </c>
      <c r="B89" s="19" t="s">
        <v>188</v>
      </c>
      <c r="C89" s="26"/>
      <c r="D89" s="27"/>
      <c r="E89" s="28"/>
      <c r="F89" s="28"/>
      <c r="G89" s="28"/>
      <c r="H89" s="8">
        <f>SUM(H90:H126)</f>
        <v>0</v>
      </c>
      <c r="I89" s="22"/>
      <c r="M89" s="89"/>
      <c r="N89" s="13"/>
      <c r="AMI89"/>
    </row>
    <row r="90" spans="1:1023" s="42" customFormat="1" ht="45" x14ac:dyDescent="0.25">
      <c r="A90" s="48" t="s">
        <v>91</v>
      </c>
      <c r="B90" s="49" t="s">
        <v>211</v>
      </c>
      <c r="C90" s="44">
        <v>103782</v>
      </c>
      <c r="D90" s="45" t="s">
        <v>189</v>
      </c>
      <c r="E90" s="46">
        <v>30</v>
      </c>
      <c r="F90" s="235"/>
      <c r="G90" s="24">
        <f t="shared" ref="G90:G126" si="14">ROUND(F90*J$1,2)</f>
        <v>0</v>
      </c>
      <c r="H90" s="24">
        <f t="shared" ref="H90:H126" si="15">ROUND(E90*G90,2)</f>
        <v>0</v>
      </c>
      <c r="I90" s="41"/>
      <c r="M90" s="92"/>
      <c r="N90" s="13"/>
      <c r="AMI90" s="47"/>
    </row>
    <row r="91" spans="1:1023" s="42" customFormat="1" ht="45" x14ac:dyDescent="0.25">
      <c r="A91" s="48" t="s">
        <v>92</v>
      </c>
      <c r="B91" s="49" t="s">
        <v>758</v>
      </c>
      <c r="C91" s="50" t="s">
        <v>779</v>
      </c>
      <c r="D91" s="45" t="s">
        <v>189</v>
      </c>
      <c r="E91" s="46">
        <v>5</v>
      </c>
      <c r="F91" s="235"/>
      <c r="G91" s="24">
        <f t="shared" si="14"/>
        <v>0</v>
      </c>
      <c r="H91" s="24">
        <f t="shared" si="15"/>
        <v>0</v>
      </c>
      <c r="I91" s="41"/>
      <c r="M91" s="92"/>
      <c r="N91" s="13"/>
      <c r="AMI91" s="47"/>
    </row>
    <row r="92" spans="1:1023" s="42" customFormat="1" ht="45" x14ac:dyDescent="0.25">
      <c r="A92" s="48" t="s">
        <v>93</v>
      </c>
      <c r="B92" s="49" t="s">
        <v>761</v>
      </c>
      <c r="C92" s="44">
        <v>92000</v>
      </c>
      <c r="D92" s="45" t="s">
        <v>189</v>
      </c>
      <c r="E92" s="46">
        <v>15</v>
      </c>
      <c r="F92" s="235"/>
      <c r="G92" s="24">
        <f t="shared" si="14"/>
        <v>0</v>
      </c>
      <c r="H92" s="24">
        <f t="shared" si="15"/>
        <v>0</v>
      </c>
      <c r="I92" s="41"/>
      <c r="M92" s="92"/>
      <c r="N92" s="13"/>
      <c r="AMI92" s="47"/>
    </row>
    <row r="93" spans="1:1023" s="42" customFormat="1" ht="45" x14ac:dyDescent="0.25">
      <c r="A93" s="48" t="s">
        <v>95</v>
      </c>
      <c r="B93" s="49" t="s">
        <v>762</v>
      </c>
      <c r="C93" s="44">
        <v>91996</v>
      </c>
      <c r="D93" s="45" t="s">
        <v>189</v>
      </c>
      <c r="E93" s="46">
        <v>11</v>
      </c>
      <c r="F93" s="235"/>
      <c r="G93" s="24">
        <f t="shared" si="14"/>
        <v>0</v>
      </c>
      <c r="H93" s="24">
        <f t="shared" si="15"/>
        <v>0</v>
      </c>
      <c r="I93" s="41"/>
      <c r="M93" s="92"/>
      <c r="N93" s="13"/>
      <c r="AMI93" s="47"/>
    </row>
    <row r="94" spans="1:1023" s="42" customFormat="1" ht="45" x14ac:dyDescent="0.25">
      <c r="A94" s="48" t="s">
        <v>96</v>
      </c>
      <c r="B94" s="49" t="s">
        <v>212</v>
      </c>
      <c r="C94" s="44">
        <v>91997</v>
      </c>
      <c r="D94" s="45" t="s">
        <v>189</v>
      </c>
      <c r="E94" s="46">
        <v>6</v>
      </c>
      <c r="F94" s="235"/>
      <c r="G94" s="24">
        <f t="shared" si="14"/>
        <v>0</v>
      </c>
      <c r="H94" s="24">
        <f t="shared" si="15"/>
        <v>0</v>
      </c>
      <c r="I94" s="41"/>
      <c r="M94" s="92"/>
      <c r="N94" s="13"/>
      <c r="AMI94" s="47"/>
    </row>
    <row r="95" spans="1:1023" s="42" customFormat="1" ht="45" x14ac:dyDescent="0.25">
      <c r="A95" s="48" t="s">
        <v>97</v>
      </c>
      <c r="B95" s="49" t="s">
        <v>759</v>
      </c>
      <c r="C95" s="44">
        <v>92004</v>
      </c>
      <c r="D95" s="45" t="s">
        <v>189</v>
      </c>
      <c r="E95" s="46">
        <v>3</v>
      </c>
      <c r="F95" s="235"/>
      <c r="G95" s="24">
        <f t="shared" si="14"/>
        <v>0</v>
      </c>
      <c r="H95" s="24">
        <f t="shared" si="15"/>
        <v>0</v>
      </c>
      <c r="I95" s="41"/>
      <c r="M95" s="92"/>
      <c r="N95" s="13"/>
      <c r="AMI95" s="47"/>
    </row>
    <row r="96" spans="1:1023" s="42" customFormat="1" ht="45" x14ac:dyDescent="0.25">
      <c r="A96" s="48" t="s">
        <v>98</v>
      </c>
      <c r="B96" s="49" t="s">
        <v>216</v>
      </c>
      <c r="C96" s="44">
        <v>91953</v>
      </c>
      <c r="D96" s="45" t="s">
        <v>189</v>
      </c>
      <c r="E96" s="46">
        <v>1</v>
      </c>
      <c r="F96" s="235"/>
      <c r="G96" s="24">
        <f t="shared" si="14"/>
        <v>0</v>
      </c>
      <c r="H96" s="24">
        <f t="shared" si="15"/>
        <v>0</v>
      </c>
      <c r="I96" s="41"/>
      <c r="M96" s="92"/>
      <c r="N96" s="13"/>
      <c r="AMI96" s="47"/>
    </row>
    <row r="97" spans="1:1023" s="42" customFormat="1" ht="45" x14ac:dyDescent="0.25">
      <c r="A97" s="48" t="s">
        <v>190</v>
      </c>
      <c r="B97" s="49" t="s">
        <v>217</v>
      </c>
      <c r="C97" s="44">
        <v>91959</v>
      </c>
      <c r="D97" s="45" t="s">
        <v>189</v>
      </c>
      <c r="E97" s="46">
        <v>3</v>
      </c>
      <c r="F97" s="235"/>
      <c r="G97" s="24">
        <f t="shared" si="14"/>
        <v>0</v>
      </c>
      <c r="H97" s="24">
        <f t="shared" si="15"/>
        <v>0</v>
      </c>
      <c r="I97" s="41"/>
      <c r="M97" s="92"/>
      <c r="N97" s="13"/>
      <c r="AMI97" s="47"/>
    </row>
    <row r="98" spans="1:1023" s="42" customFormat="1" ht="45" x14ac:dyDescent="0.25">
      <c r="A98" s="48" t="s">
        <v>191</v>
      </c>
      <c r="B98" s="49" t="s">
        <v>218</v>
      </c>
      <c r="C98" s="44">
        <v>91955</v>
      </c>
      <c r="D98" s="45" t="s">
        <v>189</v>
      </c>
      <c r="E98" s="46">
        <v>1</v>
      </c>
      <c r="F98" s="235"/>
      <c r="G98" s="24">
        <f t="shared" si="14"/>
        <v>0</v>
      </c>
      <c r="H98" s="24">
        <f t="shared" si="15"/>
        <v>0</v>
      </c>
      <c r="I98" s="41"/>
      <c r="M98" s="92"/>
      <c r="N98" s="13"/>
      <c r="AMI98" s="47"/>
    </row>
    <row r="99" spans="1:1023" s="42" customFormat="1" ht="60" x14ac:dyDescent="0.25">
      <c r="A99" s="48" t="s">
        <v>192</v>
      </c>
      <c r="B99" s="49" t="s">
        <v>219</v>
      </c>
      <c r="C99" s="44">
        <v>92023</v>
      </c>
      <c r="D99" s="45" t="s">
        <v>189</v>
      </c>
      <c r="E99" s="46">
        <v>4</v>
      </c>
      <c r="F99" s="235"/>
      <c r="G99" s="24">
        <f t="shared" si="14"/>
        <v>0</v>
      </c>
      <c r="H99" s="24">
        <f t="shared" si="15"/>
        <v>0</v>
      </c>
      <c r="I99" s="41"/>
      <c r="M99" s="92"/>
      <c r="N99" s="13"/>
      <c r="AMI99" s="47"/>
    </row>
    <row r="100" spans="1:1023" s="42" customFormat="1" ht="60" x14ac:dyDescent="0.25">
      <c r="A100" s="48" t="s">
        <v>193</v>
      </c>
      <c r="B100" s="49" t="s">
        <v>220</v>
      </c>
      <c r="C100" s="50">
        <v>92029</v>
      </c>
      <c r="D100" s="45" t="s">
        <v>189</v>
      </c>
      <c r="E100" s="46">
        <v>2</v>
      </c>
      <c r="F100" s="235"/>
      <c r="G100" s="24">
        <f t="shared" si="14"/>
        <v>0</v>
      </c>
      <c r="H100" s="24">
        <f t="shared" si="15"/>
        <v>0</v>
      </c>
      <c r="I100" s="41"/>
      <c r="M100" s="92"/>
      <c r="N100" s="13"/>
      <c r="AMI100" s="47"/>
    </row>
    <row r="101" spans="1:1023" s="42" customFormat="1" ht="60" x14ac:dyDescent="0.25">
      <c r="A101" s="48" t="s">
        <v>194</v>
      </c>
      <c r="B101" s="49" t="s">
        <v>221</v>
      </c>
      <c r="C101" s="50" t="s">
        <v>777</v>
      </c>
      <c r="D101" s="45" t="s">
        <v>189</v>
      </c>
      <c r="E101" s="46">
        <v>1</v>
      </c>
      <c r="F101" s="235"/>
      <c r="G101" s="24">
        <f t="shared" si="14"/>
        <v>0</v>
      </c>
      <c r="H101" s="24">
        <f t="shared" si="15"/>
        <v>0</v>
      </c>
      <c r="I101" s="41"/>
      <c r="M101" s="92"/>
      <c r="N101" s="13"/>
      <c r="AMI101" s="47"/>
    </row>
    <row r="102" spans="1:1023" s="42" customFormat="1" ht="60" x14ac:dyDescent="0.25">
      <c r="A102" s="48" t="s">
        <v>195</v>
      </c>
      <c r="B102" s="49" t="s">
        <v>222</v>
      </c>
      <c r="C102" s="44">
        <v>91836</v>
      </c>
      <c r="D102" s="45" t="s">
        <v>18</v>
      </c>
      <c r="E102" s="46">
        <v>29.91</v>
      </c>
      <c r="F102" s="235"/>
      <c r="G102" s="24">
        <f t="shared" si="14"/>
        <v>0</v>
      </c>
      <c r="H102" s="24">
        <f t="shared" si="15"/>
        <v>0</v>
      </c>
      <c r="I102" s="41"/>
      <c r="M102" s="92"/>
      <c r="N102" s="13"/>
      <c r="AMI102" s="47"/>
    </row>
    <row r="103" spans="1:1023" s="42" customFormat="1" ht="60" x14ac:dyDescent="0.25">
      <c r="A103" s="48" t="s">
        <v>196</v>
      </c>
      <c r="B103" s="49" t="s">
        <v>223</v>
      </c>
      <c r="C103" s="44">
        <v>91834</v>
      </c>
      <c r="D103" s="45" t="s">
        <v>18</v>
      </c>
      <c r="E103" s="46">
        <v>199.57</v>
      </c>
      <c r="F103" s="235"/>
      <c r="G103" s="24">
        <f t="shared" si="14"/>
        <v>0</v>
      </c>
      <c r="H103" s="24">
        <f t="shared" si="15"/>
        <v>0</v>
      </c>
      <c r="I103" s="41"/>
      <c r="M103" s="92"/>
      <c r="N103" s="13"/>
      <c r="AMI103" s="47"/>
    </row>
    <row r="104" spans="1:1023" s="42" customFormat="1" ht="60" x14ac:dyDescent="0.25">
      <c r="A104" s="48" t="s">
        <v>197</v>
      </c>
      <c r="B104" s="49" t="s">
        <v>224</v>
      </c>
      <c r="C104" s="44">
        <v>97670</v>
      </c>
      <c r="D104" s="45" t="s">
        <v>18</v>
      </c>
      <c r="E104" s="46">
        <v>4.05</v>
      </c>
      <c r="F104" s="235"/>
      <c r="G104" s="24">
        <f t="shared" si="14"/>
        <v>0</v>
      </c>
      <c r="H104" s="24">
        <f t="shared" si="15"/>
        <v>0</v>
      </c>
      <c r="I104" s="41"/>
      <c r="M104" s="92"/>
      <c r="N104" s="13"/>
      <c r="AMI104" s="47"/>
    </row>
    <row r="105" spans="1:1023" s="42" customFormat="1" ht="30" x14ac:dyDescent="0.25">
      <c r="A105" s="48" t="s">
        <v>198</v>
      </c>
      <c r="B105" s="49" t="s">
        <v>239</v>
      </c>
      <c r="C105" s="44">
        <v>91936</v>
      </c>
      <c r="D105" s="45" t="s">
        <v>189</v>
      </c>
      <c r="E105" s="46">
        <v>35</v>
      </c>
      <c r="F105" s="235"/>
      <c r="G105" s="24">
        <f t="shared" si="14"/>
        <v>0</v>
      </c>
      <c r="H105" s="24">
        <f t="shared" si="15"/>
        <v>0</v>
      </c>
      <c r="I105" s="41"/>
      <c r="M105" s="92"/>
      <c r="N105" s="13"/>
      <c r="AMI105" s="47"/>
    </row>
    <row r="106" spans="1:1023" s="42" customFormat="1" ht="45" x14ac:dyDescent="0.25">
      <c r="A106" s="48" t="s">
        <v>199</v>
      </c>
      <c r="B106" s="49" t="s">
        <v>240</v>
      </c>
      <c r="C106" s="44">
        <v>91941</v>
      </c>
      <c r="D106" s="45" t="s">
        <v>189</v>
      </c>
      <c r="E106" s="46">
        <v>15</v>
      </c>
      <c r="F106" s="235"/>
      <c r="G106" s="24">
        <f t="shared" si="14"/>
        <v>0</v>
      </c>
      <c r="H106" s="24">
        <f t="shared" si="15"/>
        <v>0</v>
      </c>
      <c r="I106" s="41"/>
      <c r="M106" s="92"/>
      <c r="N106" s="13"/>
      <c r="AMI106" s="47"/>
    </row>
    <row r="107" spans="1:1023" s="42" customFormat="1" ht="45" x14ac:dyDescent="0.25">
      <c r="A107" s="48" t="s">
        <v>200</v>
      </c>
      <c r="B107" s="49" t="s">
        <v>241</v>
      </c>
      <c r="C107" s="44">
        <v>91940</v>
      </c>
      <c r="D107" s="45" t="s">
        <v>189</v>
      </c>
      <c r="E107" s="46">
        <v>37</v>
      </c>
      <c r="F107" s="235"/>
      <c r="G107" s="24">
        <f t="shared" si="14"/>
        <v>0</v>
      </c>
      <c r="H107" s="24">
        <f t="shared" si="15"/>
        <v>0</v>
      </c>
      <c r="I107" s="41"/>
      <c r="M107" s="92"/>
      <c r="N107" s="13"/>
      <c r="AMI107" s="47"/>
    </row>
    <row r="108" spans="1:1023" s="42" customFormat="1" ht="45" x14ac:dyDescent="0.25">
      <c r="A108" s="48" t="s">
        <v>201</v>
      </c>
      <c r="B108" s="49" t="s">
        <v>242</v>
      </c>
      <c r="C108" s="44">
        <v>91939</v>
      </c>
      <c r="D108" s="45" t="s">
        <v>189</v>
      </c>
      <c r="E108" s="46">
        <v>3</v>
      </c>
      <c r="F108" s="235"/>
      <c r="G108" s="24">
        <f t="shared" si="14"/>
        <v>0</v>
      </c>
      <c r="H108" s="24">
        <f t="shared" si="15"/>
        <v>0</v>
      </c>
      <c r="I108" s="41"/>
      <c r="M108" s="92"/>
      <c r="N108" s="13"/>
      <c r="AMI108" s="47"/>
    </row>
    <row r="109" spans="1:1023" s="42" customFormat="1" ht="32.25" customHeight="1" x14ac:dyDescent="0.25">
      <c r="A109" s="48" t="s">
        <v>202</v>
      </c>
      <c r="B109" s="49" t="s">
        <v>248</v>
      </c>
      <c r="C109" s="100" t="s">
        <v>780</v>
      </c>
      <c r="D109" s="45" t="s">
        <v>189</v>
      </c>
      <c r="E109" s="46">
        <v>3</v>
      </c>
      <c r="F109" s="235"/>
      <c r="G109" s="24">
        <f t="shared" si="14"/>
        <v>0</v>
      </c>
      <c r="H109" s="24">
        <f t="shared" si="15"/>
        <v>0</v>
      </c>
      <c r="I109" s="41"/>
      <c r="M109" s="92"/>
      <c r="N109" s="13"/>
      <c r="AMI109" s="47"/>
    </row>
    <row r="110" spans="1:1023" s="42" customFormat="1" ht="60" x14ac:dyDescent="0.25">
      <c r="A110" s="48" t="s">
        <v>203</v>
      </c>
      <c r="B110" s="49" t="s">
        <v>243</v>
      </c>
      <c r="C110" s="44">
        <v>91945</v>
      </c>
      <c r="D110" s="45" t="s">
        <v>189</v>
      </c>
      <c r="E110" s="46">
        <v>3</v>
      </c>
      <c r="F110" s="235"/>
      <c r="G110" s="24">
        <f t="shared" si="14"/>
        <v>0</v>
      </c>
      <c r="H110" s="24">
        <f t="shared" si="15"/>
        <v>0</v>
      </c>
      <c r="I110" s="41"/>
      <c r="M110" s="92"/>
      <c r="N110" s="13"/>
      <c r="AMI110" s="47"/>
    </row>
    <row r="111" spans="1:1023" s="42" customFormat="1" ht="45" x14ac:dyDescent="0.25">
      <c r="A111" s="48" t="s">
        <v>204</v>
      </c>
      <c r="B111" s="49" t="s">
        <v>225</v>
      </c>
      <c r="C111" s="44">
        <v>91925</v>
      </c>
      <c r="D111" s="45" t="s">
        <v>18</v>
      </c>
      <c r="E111" s="46">
        <v>360.5</v>
      </c>
      <c r="F111" s="235"/>
      <c r="G111" s="24">
        <f t="shared" si="14"/>
        <v>0</v>
      </c>
      <c r="H111" s="24">
        <f t="shared" si="15"/>
        <v>0</v>
      </c>
      <c r="I111" s="41"/>
      <c r="M111" s="92"/>
      <c r="N111" s="13"/>
      <c r="AMI111" s="47"/>
    </row>
    <row r="112" spans="1:1023" s="42" customFormat="1" ht="45" x14ac:dyDescent="0.25">
      <c r="A112" s="48" t="s">
        <v>205</v>
      </c>
      <c r="B112" s="49" t="s">
        <v>226</v>
      </c>
      <c r="C112" s="44">
        <v>91927</v>
      </c>
      <c r="D112" s="45" t="s">
        <v>18</v>
      </c>
      <c r="E112" s="46">
        <v>467.95</v>
      </c>
      <c r="F112" s="235"/>
      <c r="G112" s="24">
        <f t="shared" si="14"/>
        <v>0</v>
      </c>
      <c r="H112" s="24">
        <f t="shared" si="15"/>
        <v>0</v>
      </c>
      <c r="I112" s="41"/>
      <c r="M112" s="92"/>
      <c r="N112" s="13"/>
      <c r="AMI112" s="47"/>
    </row>
    <row r="113" spans="1:1023" s="42" customFormat="1" ht="45" x14ac:dyDescent="0.25">
      <c r="A113" s="48" t="s">
        <v>206</v>
      </c>
      <c r="B113" s="49" t="s">
        <v>227</v>
      </c>
      <c r="C113" s="44">
        <v>91929</v>
      </c>
      <c r="D113" s="45" t="s">
        <v>18</v>
      </c>
      <c r="E113" s="46">
        <v>78.34</v>
      </c>
      <c r="F113" s="235"/>
      <c r="G113" s="24">
        <f t="shared" si="14"/>
        <v>0</v>
      </c>
      <c r="H113" s="24">
        <f t="shared" si="15"/>
        <v>0</v>
      </c>
      <c r="I113" s="41"/>
      <c r="M113" s="92"/>
      <c r="N113" s="13"/>
      <c r="AMI113" s="47"/>
    </row>
    <row r="114" spans="1:1023" s="42" customFormat="1" ht="45" x14ac:dyDescent="0.25">
      <c r="A114" s="48" t="s">
        <v>207</v>
      </c>
      <c r="B114" s="49" t="s">
        <v>228</v>
      </c>
      <c r="C114" s="44">
        <v>91931</v>
      </c>
      <c r="D114" s="45" t="s">
        <v>18</v>
      </c>
      <c r="E114" s="46">
        <v>45.2</v>
      </c>
      <c r="F114" s="235"/>
      <c r="G114" s="24">
        <f t="shared" si="14"/>
        <v>0</v>
      </c>
      <c r="H114" s="24">
        <f t="shared" si="15"/>
        <v>0</v>
      </c>
      <c r="I114" s="41"/>
      <c r="M114" s="92"/>
      <c r="N114" s="13"/>
      <c r="AMI114" s="47"/>
    </row>
    <row r="115" spans="1:1023" s="42" customFormat="1" ht="45" x14ac:dyDescent="0.25">
      <c r="A115" s="48" t="s">
        <v>208</v>
      </c>
      <c r="B115" s="49" t="s">
        <v>229</v>
      </c>
      <c r="C115" s="44">
        <v>91935</v>
      </c>
      <c r="D115" s="45" t="s">
        <v>18</v>
      </c>
      <c r="E115" s="46">
        <v>4.8600000000000003</v>
      </c>
      <c r="F115" s="235"/>
      <c r="G115" s="24">
        <f t="shared" si="14"/>
        <v>0</v>
      </c>
      <c r="H115" s="24">
        <f t="shared" si="15"/>
        <v>0</v>
      </c>
      <c r="I115" s="41"/>
      <c r="M115" s="92"/>
      <c r="N115" s="13"/>
      <c r="AMI115" s="47"/>
    </row>
    <row r="116" spans="1:1023" s="42" customFormat="1" ht="60" x14ac:dyDescent="0.25">
      <c r="A116" s="48" t="s">
        <v>209</v>
      </c>
      <c r="B116" s="49" t="s">
        <v>230</v>
      </c>
      <c r="C116" s="44">
        <v>92986</v>
      </c>
      <c r="D116" s="45" t="s">
        <v>18</v>
      </c>
      <c r="E116" s="46">
        <v>14.58</v>
      </c>
      <c r="F116" s="235"/>
      <c r="G116" s="24">
        <f t="shared" si="14"/>
        <v>0</v>
      </c>
      <c r="H116" s="24">
        <f t="shared" si="15"/>
        <v>0</v>
      </c>
      <c r="I116" s="41"/>
      <c r="M116" s="92"/>
      <c r="N116" s="13"/>
      <c r="AMI116" s="47"/>
    </row>
    <row r="117" spans="1:1023" s="42" customFormat="1" ht="45" x14ac:dyDescent="0.25">
      <c r="A117" s="48" t="s">
        <v>210</v>
      </c>
      <c r="B117" s="49" t="s">
        <v>231</v>
      </c>
      <c r="C117" s="44">
        <v>93654</v>
      </c>
      <c r="D117" s="45" t="s">
        <v>189</v>
      </c>
      <c r="E117" s="46">
        <v>2</v>
      </c>
      <c r="F117" s="235"/>
      <c r="G117" s="24">
        <f t="shared" si="14"/>
        <v>0</v>
      </c>
      <c r="H117" s="24">
        <f t="shared" si="15"/>
        <v>0</v>
      </c>
      <c r="I117" s="41"/>
      <c r="M117" s="92"/>
      <c r="N117" s="13"/>
      <c r="AMI117" s="47"/>
    </row>
    <row r="118" spans="1:1023" s="42" customFormat="1" ht="45" x14ac:dyDescent="0.25">
      <c r="A118" s="48" t="s">
        <v>213</v>
      </c>
      <c r="B118" s="49" t="s">
        <v>232</v>
      </c>
      <c r="C118" s="44">
        <v>93655</v>
      </c>
      <c r="D118" s="45" t="s">
        <v>189</v>
      </c>
      <c r="E118" s="46">
        <v>4</v>
      </c>
      <c r="F118" s="235"/>
      <c r="G118" s="24">
        <f t="shared" si="14"/>
        <v>0</v>
      </c>
      <c r="H118" s="24">
        <f t="shared" si="15"/>
        <v>0</v>
      </c>
      <c r="I118" s="41"/>
      <c r="M118" s="92"/>
      <c r="N118" s="13"/>
      <c r="AMI118" s="47"/>
    </row>
    <row r="119" spans="1:1023" s="42" customFormat="1" ht="45" x14ac:dyDescent="0.25">
      <c r="A119" s="48" t="s">
        <v>214</v>
      </c>
      <c r="B119" s="49" t="s">
        <v>94</v>
      </c>
      <c r="C119" s="44">
        <v>93657</v>
      </c>
      <c r="D119" s="45" t="s">
        <v>189</v>
      </c>
      <c r="E119" s="46">
        <v>1</v>
      </c>
      <c r="F119" s="235"/>
      <c r="G119" s="24">
        <f t="shared" si="14"/>
        <v>0</v>
      </c>
      <c r="H119" s="24">
        <f t="shared" si="15"/>
        <v>0</v>
      </c>
      <c r="I119" s="41"/>
      <c r="M119" s="92"/>
      <c r="N119" s="13"/>
      <c r="AMI119" s="47"/>
    </row>
    <row r="120" spans="1:1023" s="42" customFormat="1" ht="45" x14ac:dyDescent="0.25">
      <c r="A120" s="48" t="s">
        <v>215</v>
      </c>
      <c r="B120" s="49" t="s">
        <v>233</v>
      </c>
      <c r="C120" s="44">
        <v>93665</v>
      </c>
      <c r="D120" s="45" t="s">
        <v>189</v>
      </c>
      <c r="E120" s="46">
        <v>3</v>
      </c>
      <c r="F120" s="235"/>
      <c r="G120" s="24">
        <f t="shared" si="14"/>
        <v>0</v>
      </c>
      <c r="H120" s="24">
        <f t="shared" si="15"/>
        <v>0</v>
      </c>
      <c r="I120" s="41"/>
      <c r="M120" s="92"/>
      <c r="N120" s="13"/>
      <c r="AMI120" s="47"/>
    </row>
    <row r="121" spans="1:1023" s="42" customFormat="1" ht="45" x14ac:dyDescent="0.25">
      <c r="A121" s="48" t="s">
        <v>237</v>
      </c>
      <c r="B121" s="49" t="s">
        <v>235</v>
      </c>
      <c r="C121" s="96" t="s">
        <v>234</v>
      </c>
      <c r="D121" s="45" t="s">
        <v>189</v>
      </c>
      <c r="E121" s="46">
        <v>1</v>
      </c>
      <c r="F121" s="235"/>
      <c r="G121" s="24">
        <f t="shared" si="14"/>
        <v>0</v>
      </c>
      <c r="H121" s="24">
        <f t="shared" si="15"/>
        <v>0</v>
      </c>
      <c r="I121" s="41"/>
      <c r="M121" s="92"/>
      <c r="N121" s="13"/>
      <c r="AMI121" s="47"/>
    </row>
    <row r="122" spans="1:1023" s="42" customFormat="1" ht="30" x14ac:dyDescent="0.25">
      <c r="A122" s="48" t="s">
        <v>244</v>
      </c>
      <c r="B122" s="49" t="s">
        <v>763</v>
      </c>
      <c r="C122" s="50" t="s">
        <v>249</v>
      </c>
      <c r="D122" s="45" t="s">
        <v>189</v>
      </c>
      <c r="E122" s="46">
        <v>4</v>
      </c>
      <c r="F122" s="235"/>
      <c r="G122" s="24">
        <f t="shared" si="14"/>
        <v>0</v>
      </c>
      <c r="H122" s="24">
        <f t="shared" si="15"/>
        <v>0</v>
      </c>
      <c r="I122" s="41"/>
      <c r="M122" s="92"/>
      <c r="N122" s="13"/>
      <c r="AMI122" s="47"/>
    </row>
    <row r="123" spans="1:1023" s="42" customFormat="1" ht="30" x14ac:dyDescent="0.25">
      <c r="A123" s="48" t="s">
        <v>245</v>
      </c>
      <c r="B123" s="49" t="s">
        <v>764</v>
      </c>
      <c r="C123" s="50" t="s">
        <v>250</v>
      </c>
      <c r="D123" s="45" t="s">
        <v>189</v>
      </c>
      <c r="E123" s="46">
        <v>1</v>
      </c>
      <c r="F123" s="235"/>
      <c r="G123" s="24">
        <f t="shared" si="14"/>
        <v>0</v>
      </c>
      <c r="H123" s="24">
        <f t="shared" si="15"/>
        <v>0</v>
      </c>
      <c r="I123" s="41"/>
      <c r="M123" s="92"/>
      <c r="N123" s="13"/>
      <c r="AMI123" s="47"/>
    </row>
    <row r="124" spans="1:1023" s="42" customFormat="1" ht="30" x14ac:dyDescent="0.25">
      <c r="A124" s="48" t="s">
        <v>246</v>
      </c>
      <c r="B124" s="49" t="s">
        <v>765</v>
      </c>
      <c r="C124" s="50" t="s">
        <v>250</v>
      </c>
      <c r="D124" s="45" t="s">
        <v>189</v>
      </c>
      <c r="E124" s="46">
        <v>3</v>
      </c>
      <c r="F124" s="236"/>
      <c r="G124" s="24">
        <f t="shared" si="14"/>
        <v>0</v>
      </c>
      <c r="H124" s="24">
        <f t="shared" si="15"/>
        <v>0</v>
      </c>
      <c r="I124" s="41"/>
      <c r="M124" s="92"/>
      <c r="N124" s="13"/>
      <c r="Q124" s="66"/>
      <c r="AMI124" s="47"/>
    </row>
    <row r="125" spans="1:1023" s="42" customFormat="1" ht="75" x14ac:dyDescent="0.25">
      <c r="A125" s="48" t="s">
        <v>247</v>
      </c>
      <c r="B125" s="49" t="s">
        <v>238</v>
      </c>
      <c r="C125" s="44">
        <v>101875</v>
      </c>
      <c r="D125" s="45" t="s">
        <v>189</v>
      </c>
      <c r="E125" s="46">
        <v>1</v>
      </c>
      <c r="F125" s="235"/>
      <c r="G125" s="24">
        <f t="shared" si="14"/>
        <v>0</v>
      </c>
      <c r="H125" s="24">
        <f t="shared" si="15"/>
        <v>0</v>
      </c>
      <c r="I125" s="41"/>
      <c r="M125" s="92"/>
      <c r="N125" s="13"/>
      <c r="Q125" s="66"/>
      <c r="AMI125" s="47"/>
    </row>
    <row r="126" spans="1:1023" s="42" customFormat="1" ht="45" x14ac:dyDescent="0.25">
      <c r="A126" s="48" t="s">
        <v>760</v>
      </c>
      <c r="B126" s="49" t="s">
        <v>236</v>
      </c>
      <c r="C126" s="50" t="s">
        <v>251</v>
      </c>
      <c r="D126" s="45" t="s">
        <v>189</v>
      </c>
      <c r="E126" s="46">
        <v>3</v>
      </c>
      <c r="F126" s="235"/>
      <c r="G126" s="24">
        <f t="shared" si="14"/>
        <v>0</v>
      </c>
      <c r="H126" s="24">
        <f t="shared" si="15"/>
        <v>0</v>
      </c>
      <c r="I126" s="41"/>
      <c r="M126" s="92"/>
      <c r="N126" s="13"/>
      <c r="Q126" s="66"/>
      <c r="AMI126" s="47"/>
    </row>
    <row r="127" spans="1:1023" s="58" customFormat="1" ht="30" x14ac:dyDescent="0.25">
      <c r="A127" s="6">
        <v>10</v>
      </c>
      <c r="B127" s="19" t="s">
        <v>322</v>
      </c>
      <c r="C127" s="6"/>
      <c r="D127" s="6"/>
      <c r="E127" s="6"/>
      <c r="F127" s="6"/>
      <c r="G127" s="6"/>
      <c r="H127" s="34">
        <f>SUM(H128:H132)</f>
        <v>0</v>
      </c>
      <c r="I127" s="57"/>
      <c r="M127" s="90"/>
      <c r="N127" s="13"/>
      <c r="Q127" s="66"/>
      <c r="AMI127" s="59"/>
    </row>
    <row r="128" spans="1:1023" s="42" customFormat="1" ht="44.25" customHeight="1" x14ac:dyDescent="0.25">
      <c r="A128" s="48" t="s">
        <v>100</v>
      </c>
      <c r="B128" s="49" t="s">
        <v>323</v>
      </c>
      <c r="C128" s="50" t="s">
        <v>321</v>
      </c>
      <c r="D128" s="45" t="s">
        <v>189</v>
      </c>
      <c r="E128" s="46">
        <v>1</v>
      </c>
      <c r="F128" s="235"/>
      <c r="G128" s="24">
        <f>ROUND(F128*J$1,2)</f>
        <v>0</v>
      </c>
      <c r="H128" s="24">
        <f t="shared" ref="H128:H132" si="16">ROUND(E128*G128,2)</f>
        <v>0</v>
      </c>
      <c r="I128" s="41"/>
      <c r="M128" s="92"/>
      <c r="N128" s="13"/>
      <c r="Q128" s="66"/>
      <c r="AMI128" s="47"/>
    </row>
    <row r="129" spans="1:1023" s="42" customFormat="1" ht="45" x14ac:dyDescent="0.25">
      <c r="A129" s="48" t="s">
        <v>130</v>
      </c>
      <c r="B129" s="49" t="s">
        <v>318</v>
      </c>
      <c r="C129" s="50">
        <v>101905</v>
      </c>
      <c r="D129" s="45" t="s">
        <v>189</v>
      </c>
      <c r="E129" s="46">
        <v>2</v>
      </c>
      <c r="F129" s="235"/>
      <c r="G129" s="24">
        <f>ROUND(F129*J$1,2)</f>
        <v>0</v>
      </c>
      <c r="H129" s="24">
        <f t="shared" si="16"/>
        <v>0</v>
      </c>
      <c r="I129" s="41"/>
      <c r="M129" s="92"/>
      <c r="N129" s="13"/>
      <c r="Q129" s="66"/>
      <c r="AMI129" s="47"/>
    </row>
    <row r="130" spans="1:1023" s="42" customFormat="1" ht="45" x14ac:dyDescent="0.25">
      <c r="A130" s="48" t="s">
        <v>140</v>
      </c>
      <c r="B130" s="49" t="s">
        <v>319</v>
      </c>
      <c r="C130" s="50">
        <v>101907</v>
      </c>
      <c r="D130" s="45" t="s">
        <v>189</v>
      </c>
      <c r="E130" s="46">
        <v>1</v>
      </c>
      <c r="F130" s="235"/>
      <c r="G130" s="24">
        <f>ROUND(F130*J$1,2)</f>
        <v>0</v>
      </c>
      <c r="H130" s="24">
        <f t="shared" si="16"/>
        <v>0</v>
      </c>
      <c r="I130" s="41"/>
      <c r="M130" s="92"/>
      <c r="N130" s="13"/>
      <c r="Q130" s="66"/>
      <c r="AMI130" s="47"/>
    </row>
    <row r="131" spans="1:1023" s="42" customFormat="1" ht="75" x14ac:dyDescent="0.25">
      <c r="A131" s="48" t="s">
        <v>173</v>
      </c>
      <c r="B131" s="49" t="s">
        <v>320</v>
      </c>
      <c r="C131" s="50" t="s">
        <v>772</v>
      </c>
      <c r="D131" s="45" t="s">
        <v>189</v>
      </c>
      <c r="E131" s="46">
        <v>5</v>
      </c>
      <c r="F131" s="235"/>
      <c r="G131" s="24">
        <f>ROUND(F131*J$1,2)</f>
        <v>0</v>
      </c>
      <c r="H131" s="24">
        <f t="shared" si="16"/>
        <v>0</v>
      </c>
      <c r="I131" s="41"/>
      <c r="M131" s="92"/>
      <c r="N131" s="13"/>
      <c r="Q131" s="66"/>
      <c r="AMI131" s="47"/>
    </row>
    <row r="132" spans="1:1023" s="42" customFormat="1" ht="60" x14ac:dyDescent="0.25">
      <c r="A132" s="48" t="s">
        <v>747</v>
      </c>
      <c r="B132" s="49" t="s">
        <v>748</v>
      </c>
      <c r="C132" s="50">
        <v>102494</v>
      </c>
      <c r="D132" s="45" t="s">
        <v>15</v>
      </c>
      <c r="E132" s="46">
        <f>SUM(E129:E130)*(1*1)</f>
        <v>3</v>
      </c>
      <c r="F132" s="235"/>
      <c r="G132" s="24">
        <f>ROUND(F132*J$1,2)</f>
        <v>0</v>
      </c>
      <c r="H132" s="24">
        <f t="shared" si="16"/>
        <v>0</v>
      </c>
      <c r="I132" s="41"/>
      <c r="M132" s="92"/>
      <c r="N132" s="13"/>
      <c r="Q132" s="66"/>
      <c r="AMI132" s="47"/>
    </row>
    <row r="133" spans="1:1023" s="58" customFormat="1" x14ac:dyDescent="0.25">
      <c r="A133" s="6">
        <v>11</v>
      </c>
      <c r="B133" s="19" t="s">
        <v>388</v>
      </c>
      <c r="C133" s="6"/>
      <c r="D133" s="6"/>
      <c r="E133" s="6"/>
      <c r="F133" s="6"/>
      <c r="G133" s="6"/>
      <c r="H133" s="34">
        <f>H134+H139+H152+H159+H170+H182+H189+H195</f>
        <v>0</v>
      </c>
      <c r="I133" s="57"/>
      <c r="M133" s="90"/>
      <c r="N133" s="13"/>
      <c r="Q133" s="69"/>
      <c r="AMI133" s="59"/>
    </row>
    <row r="134" spans="1:1023" s="58" customFormat="1" x14ac:dyDescent="0.25">
      <c r="A134" s="79" t="s">
        <v>324</v>
      </c>
      <c r="B134" s="64" t="s">
        <v>749</v>
      </c>
      <c r="C134" s="79"/>
      <c r="D134" s="79"/>
      <c r="E134" s="79"/>
      <c r="F134" s="79"/>
      <c r="G134" s="65"/>
      <c r="H134" s="65">
        <f>SUM(H135:H138)</f>
        <v>0</v>
      </c>
      <c r="I134" s="57"/>
      <c r="M134" s="90"/>
      <c r="N134" s="13"/>
      <c r="Q134" s="69"/>
      <c r="AMI134" s="59"/>
    </row>
    <row r="135" spans="1:1023" s="42" customFormat="1" ht="45" x14ac:dyDescent="0.25">
      <c r="A135" s="48" t="s">
        <v>325</v>
      </c>
      <c r="B135" s="49" t="s">
        <v>394</v>
      </c>
      <c r="C135" s="50">
        <v>103978</v>
      </c>
      <c r="D135" s="45" t="s">
        <v>18</v>
      </c>
      <c r="E135" s="46">
        <v>7.62</v>
      </c>
      <c r="F135" s="235"/>
      <c r="G135" s="24">
        <f>ROUND(F135*J$1,2)</f>
        <v>0</v>
      </c>
      <c r="H135" s="24">
        <f t="shared" ref="H135:H138" si="17">ROUND(E135*G135,2)</f>
        <v>0</v>
      </c>
      <c r="I135" s="41"/>
      <c r="J135" s="70"/>
      <c r="K135" s="71"/>
      <c r="L135" s="71"/>
      <c r="M135" s="93"/>
      <c r="N135" s="13"/>
      <c r="O135" s="71"/>
      <c r="P135" s="72"/>
      <c r="Q135" s="73"/>
      <c r="AMI135" s="47"/>
    </row>
    <row r="136" spans="1:1023" s="42" customFormat="1" ht="60" customHeight="1" x14ac:dyDescent="0.25">
      <c r="A136" s="48" t="s">
        <v>326</v>
      </c>
      <c r="B136" s="49" t="s">
        <v>397</v>
      </c>
      <c r="C136" s="50">
        <v>103980</v>
      </c>
      <c r="D136" s="45" t="s">
        <v>189</v>
      </c>
      <c r="E136" s="46">
        <v>1</v>
      </c>
      <c r="F136" s="235"/>
      <c r="G136" s="24">
        <f>ROUND(F136*J$1,2)</f>
        <v>0</v>
      </c>
      <c r="H136" s="24">
        <f t="shared" si="17"/>
        <v>0</v>
      </c>
      <c r="I136" s="41"/>
      <c r="J136" s="70"/>
      <c r="K136" s="71"/>
      <c r="L136" s="71"/>
      <c r="M136" s="93"/>
      <c r="N136" s="13"/>
      <c r="O136" s="71"/>
      <c r="P136" s="72"/>
      <c r="Q136" s="73"/>
      <c r="AMI136" s="47"/>
    </row>
    <row r="137" spans="1:1023" s="42" customFormat="1" ht="60" x14ac:dyDescent="0.25">
      <c r="A137" s="48" t="s">
        <v>327</v>
      </c>
      <c r="B137" s="49" t="s">
        <v>404</v>
      </c>
      <c r="C137" s="50">
        <v>94793</v>
      </c>
      <c r="D137" s="45" t="s">
        <v>189</v>
      </c>
      <c r="E137" s="46">
        <v>2</v>
      </c>
      <c r="F137" s="235"/>
      <c r="G137" s="24">
        <f>ROUND(F137*J$1,2)</f>
        <v>0</v>
      </c>
      <c r="H137" s="24">
        <f t="shared" si="17"/>
        <v>0</v>
      </c>
      <c r="I137" s="41"/>
      <c r="J137" s="70"/>
      <c r="K137" s="71"/>
      <c r="L137" s="71"/>
      <c r="M137" s="93"/>
      <c r="N137" s="13"/>
      <c r="O137" s="71"/>
      <c r="P137" s="72"/>
      <c r="Q137" s="73"/>
      <c r="AMI137" s="47"/>
    </row>
    <row r="138" spans="1:1023" s="42" customFormat="1" ht="64.5" customHeight="1" x14ac:dyDescent="0.25">
      <c r="A138" s="48" t="s">
        <v>328</v>
      </c>
      <c r="B138" s="49" t="s">
        <v>750</v>
      </c>
      <c r="C138" s="50" t="s">
        <v>773</v>
      </c>
      <c r="D138" s="45" t="s">
        <v>189</v>
      </c>
      <c r="E138" s="46">
        <v>2</v>
      </c>
      <c r="F138" s="235"/>
      <c r="G138" s="24">
        <f>ROUND(F138*J$1,2)</f>
        <v>0</v>
      </c>
      <c r="H138" s="24">
        <f t="shared" si="17"/>
        <v>0</v>
      </c>
      <c r="I138" s="41"/>
      <c r="J138" s="75"/>
      <c r="K138" s="74"/>
      <c r="L138" s="71"/>
      <c r="M138" s="93"/>
      <c r="N138" s="13"/>
      <c r="O138" s="71"/>
      <c r="P138" s="72"/>
      <c r="Q138" s="73"/>
      <c r="AMI138" s="47"/>
    </row>
    <row r="139" spans="1:1023" s="58" customFormat="1" x14ac:dyDescent="0.25">
      <c r="A139" s="63" t="s">
        <v>329</v>
      </c>
      <c r="B139" s="64" t="s">
        <v>389</v>
      </c>
      <c r="C139" s="79"/>
      <c r="D139" s="80"/>
      <c r="E139" s="65"/>
      <c r="F139" s="65"/>
      <c r="G139" s="65"/>
      <c r="H139" s="65">
        <f>SUM(H140:H151)</f>
        <v>0</v>
      </c>
      <c r="I139" s="57"/>
      <c r="M139" s="90"/>
      <c r="N139" s="13"/>
      <c r="Q139" s="69"/>
      <c r="AMI139" s="59"/>
    </row>
    <row r="140" spans="1:1023" s="42" customFormat="1" ht="60" x14ac:dyDescent="0.25">
      <c r="A140" s="48" t="s">
        <v>330</v>
      </c>
      <c r="B140" s="49" t="s">
        <v>411</v>
      </c>
      <c r="C140" s="50">
        <v>103947</v>
      </c>
      <c r="D140" s="45" t="s">
        <v>189</v>
      </c>
      <c r="E140" s="46">
        <v>2</v>
      </c>
      <c r="F140" s="235"/>
      <c r="G140" s="24">
        <f t="shared" ref="G140:G151" si="18">ROUND(F140*J$1,2)</f>
        <v>0</v>
      </c>
      <c r="H140" s="24">
        <f t="shared" ref="H140:H151" si="19">ROUND(E140*G140,2)</f>
        <v>0</v>
      </c>
      <c r="I140" s="41"/>
      <c r="M140" s="92"/>
      <c r="N140" s="13"/>
      <c r="Q140" s="66"/>
      <c r="AMI140" s="47"/>
    </row>
    <row r="141" spans="1:1023" s="42" customFormat="1" ht="60" x14ac:dyDescent="0.25">
      <c r="A141" s="48" t="s">
        <v>331</v>
      </c>
      <c r="B141" s="49" t="s">
        <v>402</v>
      </c>
      <c r="C141" s="50">
        <v>89366</v>
      </c>
      <c r="D141" s="45" t="s">
        <v>189</v>
      </c>
      <c r="E141" s="46">
        <v>2</v>
      </c>
      <c r="F141" s="235"/>
      <c r="G141" s="24">
        <f t="shared" si="18"/>
        <v>0</v>
      </c>
      <c r="H141" s="24">
        <f t="shared" si="19"/>
        <v>0</v>
      </c>
      <c r="I141" s="41"/>
      <c r="M141" s="92"/>
      <c r="N141" s="13"/>
      <c r="Q141" s="66"/>
      <c r="AMI141" s="47"/>
    </row>
    <row r="142" spans="1:1023" s="42" customFormat="1" ht="47.25" customHeight="1" x14ac:dyDescent="0.25">
      <c r="A142" s="48" t="s">
        <v>332</v>
      </c>
      <c r="B142" s="49" t="s">
        <v>398</v>
      </c>
      <c r="C142" s="50">
        <v>89362</v>
      </c>
      <c r="D142" s="45" t="s">
        <v>189</v>
      </c>
      <c r="E142" s="46">
        <v>1</v>
      </c>
      <c r="F142" s="235"/>
      <c r="G142" s="24">
        <f t="shared" si="18"/>
        <v>0</v>
      </c>
      <c r="H142" s="24">
        <f t="shared" si="19"/>
        <v>0</v>
      </c>
      <c r="I142" s="41"/>
      <c r="M142" s="92"/>
      <c r="N142" s="13"/>
      <c r="Q142" s="66"/>
      <c r="AMI142" s="47"/>
    </row>
    <row r="143" spans="1:1023" s="42" customFormat="1" ht="45" x14ac:dyDescent="0.25">
      <c r="A143" s="48" t="s">
        <v>333</v>
      </c>
      <c r="B143" s="49" t="s">
        <v>412</v>
      </c>
      <c r="C143" s="50">
        <v>89395</v>
      </c>
      <c r="D143" s="45" t="s">
        <v>189</v>
      </c>
      <c r="E143" s="46">
        <v>1</v>
      </c>
      <c r="F143" s="235"/>
      <c r="G143" s="24">
        <f t="shared" si="18"/>
        <v>0</v>
      </c>
      <c r="H143" s="24">
        <f t="shared" si="19"/>
        <v>0</v>
      </c>
      <c r="I143" s="41"/>
      <c r="M143" s="92"/>
      <c r="N143" s="13"/>
      <c r="Q143" s="66"/>
      <c r="AMI143" s="47"/>
    </row>
    <row r="144" spans="1:1023" s="42" customFormat="1" ht="45" x14ac:dyDescent="0.25">
      <c r="A144" s="48" t="s">
        <v>334</v>
      </c>
      <c r="B144" s="49" t="s">
        <v>395</v>
      </c>
      <c r="C144" s="50">
        <v>89356</v>
      </c>
      <c r="D144" s="45" t="s">
        <v>18</v>
      </c>
      <c r="E144" s="46">
        <v>0.36</v>
      </c>
      <c r="F144" s="235"/>
      <c r="G144" s="24">
        <f t="shared" si="18"/>
        <v>0</v>
      </c>
      <c r="H144" s="24">
        <f t="shared" si="19"/>
        <v>0</v>
      </c>
      <c r="I144" s="41"/>
      <c r="M144" s="92"/>
      <c r="N144" s="13"/>
      <c r="Q144" s="66"/>
      <c r="AMI144" s="47"/>
    </row>
    <row r="145" spans="1:1023" s="42" customFormat="1" ht="45" x14ac:dyDescent="0.25">
      <c r="A145" s="48" t="s">
        <v>335</v>
      </c>
      <c r="B145" s="49" t="s">
        <v>396</v>
      </c>
      <c r="C145" s="50">
        <v>89357</v>
      </c>
      <c r="D145" s="45" t="s">
        <v>18</v>
      </c>
      <c r="E145" s="46">
        <v>11.25</v>
      </c>
      <c r="F145" s="235"/>
      <c r="G145" s="24">
        <f t="shared" si="18"/>
        <v>0</v>
      </c>
      <c r="H145" s="24">
        <f t="shared" si="19"/>
        <v>0</v>
      </c>
      <c r="I145" s="41"/>
      <c r="M145" s="92"/>
      <c r="N145" s="13"/>
      <c r="Q145" s="66"/>
      <c r="AMI145" s="47"/>
    </row>
    <row r="146" spans="1:1023" s="42" customFormat="1" ht="45.75" customHeight="1" x14ac:dyDescent="0.25">
      <c r="A146" s="48" t="s">
        <v>336</v>
      </c>
      <c r="B146" s="49" t="s">
        <v>405</v>
      </c>
      <c r="C146" s="50">
        <v>94792</v>
      </c>
      <c r="D146" s="45" t="s">
        <v>189</v>
      </c>
      <c r="E146" s="46">
        <v>1</v>
      </c>
      <c r="F146" s="235"/>
      <c r="G146" s="24">
        <f t="shared" si="18"/>
        <v>0</v>
      </c>
      <c r="H146" s="24">
        <f t="shared" si="19"/>
        <v>0</v>
      </c>
      <c r="I146" s="41"/>
      <c r="M146" s="92"/>
      <c r="N146" s="13"/>
      <c r="Q146" s="66"/>
      <c r="AMI146" s="47"/>
    </row>
    <row r="147" spans="1:1023" s="42" customFormat="1" ht="60" x14ac:dyDescent="0.25">
      <c r="A147" s="48" t="s">
        <v>337</v>
      </c>
      <c r="B147" s="49" t="s">
        <v>407</v>
      </c>
      <c r="C147" s="50">
        <v>89380</v>
      </c>
      <c r="D147" s="45" t="s">
        <v>189</v>
      </c>
      <c r="E147" s="46">
        <v>1</v>
      </c>
      <c r="F147" s="235"/>
      <c r="G147" s="24">
        <f t="shared" si="18"/>
        <v>0</v>
      </c>
      <c r="H147" s="24">
        <f t="shared" si="19"/>
        <v>0</v>
      </c>
      <c r="I147" s="41"/>
      <c r="M147" s="92"/>
      <c r="N147" s="13"/>
      <c r="Q147" s="66"/>
      <c r="AMI147" s="47"/>
    </row>
    <row r="148" spans="1:1023" s="42" customFormat="1" ht="48" customHeight="1" x14ac:dyDescent="0.25">
      <c r="A148" s="48" t="s">
        <v>338</v>
      </c>
      <c r="B148" s="49" t="s">
        <v>400</v>
      </c>
      <c r="C148" s="50">
        <v>89368</v>
      </c>
      <c r="D148" s="45" t="s">
        <v>189</v>
      </c>
      <c r="E148" s="46">
        <v>2</v>
      </c>
      <c r="F148" s="235"/>
      <c r="G148" s="24">
        <f t="shared" si="18"/>
        <v>0</v>
      </c>
      <c r="H148" s="24">
        <f t="shared" si="19"/>
        <v>0</v>
      </c>
      <c r="I148" s="41"/>
      <c r="M148" s="92"/>
      <c r="N148" s="13"/>
      <c r="Q148" s="66"/>
      <c r="AMI148" s="47"/>
    </row>
    <row r="149" spans="1:1023" s="42" customFormat="1" ht="48" customHeight="1" x14ac:dyDescent="0.25">
      <c r="A149" s="48" t="s">
        <v>339</v>
      </c>
      <c r="B149" s="49" t="s">
        <v>399</v>
      </c>
      <c r="C149" s="50">
        <v>89367</v>
      </c>
      <c r="D149" s="45" t="s">
        <v>189</v>
      </c>
      <c r="E149" s="46">
        <v>2</v>
      </c>
      <c r="F149" s="235"/>
      <c r="G149" s="24">
        <f t="shared" si="18"/>
        <v>0</v>
      </c>
      <c r="H149" s="24">
        <f t="shared" si="19"/>
        <v>0</v>
      </c>
      <c r="I149" s="41"/>
      <c r="M149" s="92"/>
      <c r="N149" s="13"/>
      <c r="Q149" s="66"/>
      <c r="AMI149" s="47"/>
    </row>
    <row r="150" spans="1:1023" s="42" customFormat="1" ht="60" x14ac:dyDescent="0.25">
      <c r="A150" s="48" t="s">
        <v>340</v>
      </c>
      <c r="B150" s="49" t="s">
        <v>408</v>
      </c>
      <c r="C150" s="50">
        <v>89433</v>
      </c>
      <c r="D150" s="45" t="s">
        <v>189</v>
      </c>
      <c r="E150" s="46">
        <v>1</v>
      </c>
      <c r="F150" s="235"/>
      <c r="G150" s="24">
        <f t="shared" si="18"/>
        <v>0</v>
      </c>
      <c r="H150" s="24">
        <f t="shared" si="19"/>
        <v>0</v>
      </c>
      <c r="I150" s="41"/>
      <c r="M150" s="92"/>
      <c r="N150" s="13"/>
      <c r="Q150" s="66"/>
      <c r="AMI150" s="47"/>
    </row>
    <row r="151" spans="1:1023" s="42" customFormat="1" ht="45" x14ac:dyDescent="0.25">
      <c r="A151" s="48" t="s">
        <v>341</v>
      </c>
      <c r="B151" s="49" t="s">
        <v>413</v>
      </c>
      <c r="C151" s="50">
        <v>104011</v>
      </c>
      <c r="D151" s="45" t="s">
        <v>189</v>
      </c>
      <c r="E151" s="46">
        <v>1</v>
      </c>
      <c r="F151" s="235"/>
      <c r="G151" s="24">
        <f t="shared" si="18"/>
        <v>0</v>
      </c>
      <c r="H151" s="24">
        <f t="shared" si="19"/>
        <v>0</v>
      </c>
      <c r="I151" s="41"/>
      <c r="M151" s="92"/>
      <c r="N151" s="13"/>
      <c r="Q151" s="66"/>
      <c r="AMI151" s="47"/>
    </row>
    <row r="152" spans="1:1023" s="58" customFormat="1" x14ac:dyDescent="0.25">
      <c r="A152" s="63" t="s">
        <v>342</v>
      </c>
      <c r="B152" s="64" t="s">
        <v>390</v>
      </c>
      <c r="C152" s="79"/>
      <c r="D152" s="80"/>
      <c r="E152" s="65"/>
      <c r="F152" s="65"/>
      <c r="G152" s="65"/>
      <c r="H152" s="65">
        <f>SUM(H153:H158)</f>
        <v>0</v>
      </c>
      <c r="I152" s="57"/>
      <c r="M152" s="90"/>
      <c r="N152" s="13"/>
      <c r="Q152" s="69"/>
      <c r="AMI152" s="59"/>
    </row>
    <row r="153" spans="1:1023" s="42" customFormat="1" ht="60" x14ac:dyDescent="0.25">
      <c r="A153" s="48" t="s">
        <v>343</v>
      </c>
      <c r="B153" s="49" t="s">
        <v>411</v>
      </c>
      <c r="C153" s="50">
        <v>103947</v>
      </c>
      <c r="D153" s="45" t="s">
        <v>189</v>
      </c>
      <c r="E153" s="46">
        <v>1</v>
      </c>
      <c r="F153" s="235"/>
      <c r="G153" s="24">
        <f t="shared" ref="G153:G158" si="20">ROUND(F153*J$1,2)</f>
        <v>0</v>
      </c>
      <c r="H153" s="24">
        <f t="shared" ref="H153:H158" si="21">ROUND(E153*G153,2)</f>
        <v>0</v>
      </c>
      <c r="I153" s="41"/>
      <c r="M153" s="92"/>
      <c r="N153" s="13"/>
      <c r="Q153" s="66"/>
      <c r="AMI153" s="47"/>
    </row>
    <row r="154" spans="1:1023" s="42" customFormat="1" ht="60" x14ac:dyDescent="0.25">
      <c r="A154" s="48" t="s">
        <v>344</v>
      </c>
      <c r="B154" s="49" t="s">
        <v>402</v>
      </c>
      <c r="C154" s="50">
        <v>89366</v>
      </c>
      <c r="D154" s="45" t="s">
        <v>189</v>
      </c>
      <c r="E154" s="46">
        <v>1</v>
      </c>
      <c r="F154" s="235"/>
      <c r="G154" s="24">
        <f t="shared" si="20"/>
        <v>0</v>
      </c>
      <c r="H154" s="24">
        <f t="shared" si="21"/>
        <v>0</v>
      </c>
      <c r="I154" s="41"/>
      <c r="M154" s="92"/>
      <c r="N154" s="13"/>
      <c r="Q154" s="66"/>
      <c r="AMI154" s="47"/>
    </row>
    <row r="155" spans="1:1023" s="42" customFormat="1" ht="60" x14ac:dyDescent="0.25">
      <c r="A155" s="48" t="s">
        <v>345</v>
      </c>
      <c r="B155" s="49" t="s">
        <v>406</v>
      </c>
      <c r="C155" s="50">
        <v>89987</v>
      </c>
      <c r="D155" s="45" t="s">
        <v>189</v>
      </c>
      <c r="E155" s="46">
        <v>1</v>
      </c>
      <c r="F155" s="235"/>
      <c r="G155" s="24">
        <f t="shared" si="20"/>
        <v>0</v>
      </c>
      <c r="H155" s="24">
        <f t="shared" si="21"/>
        <v>0</v>
      </c>
      <c r="I155" s="41"/>
      <c r="M155" s="92"/>
      <c r="N155" s="13"/>
      <c r="Q155" s="66"/>
      <c r="AMI155" s="47"/>
    </row>
    <row r="156" spans="1:1023" s="42" customFormat="1" ht="60" x14ac:dyDescent="0.25">
      <c r="A156" s="48" t="s">
        <v>346</v>
      </c>
      <c r="B156" s="49" t="s">
        <v>410</v>
      </c>
      <c r="C156" s="50" t="s">
        <v>409</v>
      </c>
      <c r="D156" s="45" t="s">
        <v>189</v>
      </c>
      <c r="E156" s="46">
        <v>1</v>
      </c>
      <c r="F156" s="235"/>
      <c r="G156" s="24">
        <f t="shared" si="20"/>
        <v>0</v>
      </c>
      <c r="H156" s="24">
        <f t="shared" si="21"/>
        <v>0</v>
      </c>
      <c r="I156" s="41"/>
      <c r="M156" s="92"/>
      <c r="N156" s="13"/>
      <c r="Q156" s="66"/>
      <c r="AMI156" s="47"/>
    </row>
    <row r="157" spans="1:1023" s="42" customFormat="1" ht="45" customHeight="1" x14ac:dyDescent="0.25">
      <c r="A157" s="48" t="s">
        <v>347</v>
      </c>
      <c r="B157" s="49" t="s">
        <v>401</v>
      </c>
      <c r="C157" s="50">
        <v>89363</v>
      </c>
      <c r="D157" s="45" t="s">
        <v>189</v>
      </c>
      <c r="E157" s="46">
        <v>2</v>
      </c>
      <c r="F157" s="235"/>
      <c r="G157" s="24">
        <f t="shared" si="20"/>
        <v>0</v>
      </c>
      <c r="H157" s="24">
        <f t="shared" si="21"/>
        <v>0</v>
      </c>
      <c r="I157" s="41"/>
      <c r="M157" s="92"/>
      <c r="N157" s="13"/>
      <c r="Q157" s="66"/>
      <c r="AMI157" s="47"/>
    </row>
    <row r="158" spans="1:1023" s="42" customFormat="1" ht="45" x14ac:dyDescent="0.25">
      <c r="A158" s="48" t="s">
        <v>348</v>
      </c>
      <c r="B158" s="49" t="s">
        <v>395</v>
      </c>
      <c r="C158" s="50">
        <v>89356</v>
      </c>
      <c r="D158" s="45" t="s">
        <v>18</v>
      </c>
      <c r="E158" s="46">
        <v>2.6</v>
      </c>
      <c r="F158" s="235"/>
      <c r="G158" s="24">
        <f t="shared" si="20"/>
        <v>0</v>
      </c>
      <c r="H158" s="24">
        <f t="shared" si="21"/>
        <v>0</v>
      </c>
      <c r="I158" s="41"/>
      <c r="M158" s="92"/>
      <c r="N158" s="13"/>
      <c r="Q158" s="66"/>
      <c r="AMI158" s="47"/>
    </row>
    <row r="159" spans="1:1023" s="58" customFormat="1" x14ac:dyDescent="0.25">
      <c r="A159" s="63" t="s">
        <v>349</v>
      </c>
      <c r="B159" s="64" t="s">
        <v>391</v>
      </c>
      <c r="C159" s="79"/>
      <c r="D159" s="80"/>
      <c r="E159" s="65"/>
      <c r="F159" s="65"/>
      <c r="G159" s="65"/>
      <c r="H159" s="65">
        <f>SUM(H160:H169)</f>
        <v>0</v>
      </c>
      <c r="I159" s="57"/>
      <c r="M159" s="90"/>
      <c r="N159" s="13"/>
      <c r="Q159" s="69"/>
      <c r="AMI159" s="59"/>
    </row>
    <row r="160" spans="1:1023" s="42" customFormat="1" ht="60" x14ac:dyDescent="0.25">
      <c r="A160" s="48" t="s">
        <v>350</v>
      </c>
      <c r="B160" s="49" t="s">
        <v>411</v>
      </c>
      <c r="C160" s="50">
        <v>103947</v>
      </c>
      <c r="D160" s="45" t="s">
        <v>189</v>
      </c>
      <c r="E160" s="46">
        <v>4</v>
      </c>
      <c r="F160" s="235"/>
      <c r="G160" s="24">
        <f t="shared" ref="G160:G169" si="22">ROUND(F160*J$1,2)</f>
        <v>0</v>
      </c>
      <c r="H160" s="24">
        <f t="shared" ref="H160:H169" si="23">ROUND(E160*G160,2)</f>
        <v>0</v>
      </c>
      <c r="I160" s="41"/>
      <c r="M160" s="92"/>
      <c r="N160" s="13"/>
      <c r="Q160" s="66"/>
      <c r="AMI160" s="47"/>
    </row>
    <row r="161" spans="1:1023" s="42" customFormat="1" ht="60" x14ac:dyDescent="0.25">
      <c r="A161" s="48" t="s">
        <v>351</v>
      </c>
      <c r="B161" s="49" t="s">
        <v>402</v>
      </c>
      <c r="C161" s="50">
        <v>89366</v>
      </c>
      <c r="D161" s="45" t="s">
        <v>189</v>
      </c>
      <c r="E161" s="46">
        <v>3</v>
      </c>
      <c r="F161" s="235"/>
      <c r="G161" s="24">
        <f t="shared" si="22"/>
        <v>0</v>
      </c>
      <c r="H161" s="24">
        <f t="shared" si="23"/>
        <v>0</v>
      </c>
      <c r="I161" s="41"/>
      <c r="M161" s="92"/>
      <c r="N161" s="13"/>
      <c r="Q161" s="66"/>
      <c r="AMI161" s="47"/>
    </row>
    <row r="162" spans="1:1023" s="42" customFormat="1" ht="48" customHeight="1" x14ac:dyDescent="0.25">
      <c r="A162" s="48" t="s">
        <v>352</v>
      </c>
      <c r="B162" s="49" t="s">
        <v>399</v>
      </c>
      <c r="C162" s="50">
        <v>89367</v>
      </c>
      <c r="D162" s="45" t="s">
        <v>189</v>
      </c>
      <c r="E162" s="46">
        <v>1</v>
      </c>
      <c r="F162" s="235"/>
      <c r="G162" s="24">
        <f t="shared" si="22"/>
        <v>0</v>
      </c>
      <c r="H162" s="24">
        <f t="shared" si="23"/>
        <v>0</v>
      </c>
      <c r="I162" s="41"/>
      <c r="M162" s="92"/>
      <c r="N162" s="13"/>
      <c r="Q162" s="66"/>
      <c r="AMI162" s="47"/>
    </row>
    <row r="163" spans="1:1023" s="42" customFormat="1" ht="45" x14ac:dyDescent="0.25">
      <c r="A163" s="48" t="s">
        <v>353</v>
      </c>
      <c r="B163" s="49" t="s">
        <v>412</v>
      </c>
      <c r="C163" s="50">
        <v>89395</v>
      </c>
      <c r="D163" s="45" t="s">
        <v>189</v>
      </c>
      <c r="E163" s="46">
        <v>3</v>
      </c>
      <c r="F163" s="235"/>
      <c r="G163" s="24">
        <f t="shared" si="22"/>
        <v>0</v>
      </c>
      <c r="H163" s="24">
        <f t="shared" si="23"/>
        <v>0</v>
      </c>
      <c r="I163" s="41"/>
      <c r="M163" s="92"/>
      <c r="N163" s="13"/>
      <c r="Q163" s="66"/>
      <c r="AMI163" s="47"/>
    </row>
    <row r="164" spans="1:1023" s="42" customFormat="1" ht="60" x14ac:dyDescent="0.25">
      <c r="A164" s="48" t="s">
        <v>354</v>
      </c>
      <c r="B164" s="49" t="s">
        <v>415</v>
      </c>
      <c r="C164" s="50">
        <v>89985</v>
      </c>
      <c r="D164" s="45" t="s">
        <v>189</v>
      </c>
      <c r="E164" s="46">
        <v>1</v>
      </c>
      <c r="F164" s="235"/>
      <c r="G164" s="24">
        <f t="shared" si="22"/>
        <v>0</v>
      </c>
      <c r="H164" s="24">
        <f t="shared" si="23"/>
        <v>0</v>
      </c>
      <c r="I164" s="41"/>
      <c r="M164" s="92"/>
      <c r="N164" s="13"/>
      <c r="Q164" s="66"/>
      <c r="AMI164" s="47"/>
    </row>
    <row r="165" spans="1:1023" s="42" customFormat="1" ht="60" x14ac:dyDescent="0.25">
      <c r="A165" s="48" t="s">
        <v>355</v>
      </c>
      <c r="B165" s="49" t="s">
        <v>406</v>
      </c>
      <c r="C165" s="50">
        <v>89987</v>
      </c>
      <c r="D165" s="45" t="s">
        <v>189</v>
      </c>
      <c r="E165" s="46">
        <v>1</v>
      </c>
      <c r="F165" s="235"/>
      <c r="G165" s="24">
        <f t="shared" si="22"/>
        <v>0</v>
      </c>
      <c r="H165" s="24">
        <f t="shared" si="23"/>
        <v>0</v>
      </c>
      <c r="I165" s="41"/>
      <c r="M165" s="92"/>
      <c r="N165" s="13"/>
      <c r="Q165" s="66"/>
      <c r="AMI165" s="47"/>
    </row>
    <row r="166" spans="1:1023" s="42" customFormat="1" ht="45" x14ac:dyDescent="0.25">
      <c r="A166" s="48" t="s">
        <v>356</v>
      </c>
      <c r="B166" s="49" t="s">
        <v>395</v>
      </c>
      <c r="C166" s="50">
        <v>89356</v>
      </c>
      <c r="D166" s="45" t="s">
        <v>18</v>
      </c>
      <c r="E166" s="46">
        <v>6.8</v>
      </c>
      <c r="F166" s="235"/>
      <c r="G166" s="24">
        <f t="shared" si="22"/>
        <v>0</v>
      </c>
      <c r="H166" s="24">
        <f t="shared" si="23"/>
        <v>0</v>
      </c>
      <c r="I166" s="41"/>
      <c r="M166" s="92"/>
      <c r="N166" s="13"/>
      <c r="Q166" s="66"/>
      <c r="AMI166" s="47"/>
    </row>
    <row r="167" spans="1:1023" s="42" customFormat="1" ht="48.75" customHeight="1" x14ac:dyDescent="0.25">
      <c r="A167" s="48" t="s">
        <v>357</v>
      </c>
      <c r="B167" s="49" t="s">
        <v>401</v>
      </c>
      <c r="C167" s="50">
        <v>89363</v>
      </c>
      <c r="D167" s="45" t="s">
        <v>189</v>
      </c>
      <c r="E167" s="46">
        <v>2</v>
      </c>
      <c r="F167" s="235"/>
      <c r="G167" s="24">
        <f t="shared" si="22"/>
        <v>0</v>
      </c>
      <c r="H167" s="24">
        <f t="shared" si="23"/>
        <v>0</v>
      </c>
      <c r="I167" s="41"/>
      <c r="M167" s="92"/>
      <c r="N167" s="13"/>
      <c r="Q167" s="66"/>
      <c r="AMI167" s="47"/>
    </row>
    <row r="168" spans="1:1023" s="42" customFormat="1" ht="45" x14ac:dyDescent="0.25">
      <c r="A168" s="48" t="s">
        <v>358</v>
      </c>
      <c r="B168" s="49" t="s">
        <v>413</v>
      </c>
      <c r="C168" s="50">
        <v>104011</v>
      </c>
      <c r="D168" s="45" t="s">
        <v>189</v>
      </c>
      <c r="E168" s="46">
        <v>1</v>
      </c>
      <c r="F168" s="235"/>
      <c r="G168" s="24">
        <f t="shared" si="22"/>
        <v>0</v>
      </c>
      <c r="H168" s="24">
        <f t="shared" si="23"/>
        <v>0</v>
      </c>
      <c r="I168" s="41"/>
      <c r="M168" s="92"/>
      <c r="N168" s="13"/>
      <c r="Q168" s="66"/>
      <c r="AMI168" s="47"/>
    </row>
    <row r="169" spans="1:1023" s="42" customFormat="1" ht="60" x14ac:dyDescent="0.25">
      <c r="A169" s="48" t="s">
        <v>359</v>
      </c>
      <c r="B169" s="49" t="s">
        <v>410</v>
      </c>
      <c r="C169" s="50" t="s">
        <v>409</v>
      </c>
      <c r="D169" s="45" t="s">
        <v>189</v>
      </c>
      <c r="E169" s="46">
        <v>1</v>
      </c>
      <c r="F169" s="235"/>
      <c r="G169" s="24">
        <f t="shared" si="22"/>
        <v>0</v>
      </c>
      <c r="H169" s="24">
        <f t="shared" si="23"/>
        <v>0</v>
      </c>
      <c r="I169" s="41"/>
      <c r="M169" s="92"/>
      <c r="N169" s="13"/>
      <c r="Q169" s="66"/>
      <c r="AMI169" s="47"/>
    </row>
    <row r="170" spans="1:1023" s="58" customFormat="1" x14ac:dyDescent="0.25">
      <c r="A170" s="63" t="s">
        <v>360</v>
      </c>
      <c r="B170" s="64" t="s">
        <v>392</v>
      </c>
      <c r="C170" s="79"/>
      <c r="D170" s="80"/>
      <c r="E170" s="65"/>
      <c r="F170" s="65"/>
      <c r="G170" s="65"/>
      <c r="H170" s="65">
        <f>SUM(H171:H181)</f>
        <v>0</v>
      </c>
      <c r="I170" s="57"/>
      <c r="M170" s="90"/>
      <c r="N170" s="13"/>
      <c r="Q170" s="69"/>
      <c r="AMI170" s="59"/>
    </row>
    <row r="171" spans="1:1023" s="42" customFormat="1" ht="60" x14ac:dyDescent="0.25">
      <c r="A171" s="48" t="s">
        <v>361</v>
      </c>
      <c r="B171" s="49" t="s">
        <v>411</v>
      </c>
      <c r="C171" s="50">
        <v>103947</v>
      </c>
      <c r="D171" s="45" t="s">
        <v>189</v>
      </c>
      <c r="E171" s="46">
        <v>6</v>
      </c>
      <c r="F171" s="235"/>
      <c r="G171" s="24">
        <f t="shared" ref="G171:G181" si="24">ROUND(F171*J$1,2)</f>
        <v>0</v>
      </c>
      <c r="H171" s="24">
        <f t="shared" ref="H171:H181" si="25">ROUND(E171*G171,2)</f>
        <v>0</v>
      </c>
      <c r="I171" s="41"/>
      <c r="M171" s="92"/>
      <c r="N171" s="13"/>
      <c r="Q171" s="66"/>
      <c r="AMI171" s="47"/>
    </row>
    <row r="172" spans="1:1023" s="42" customFormat="1" ht="60" x14ac:dyDescent="0.25">
      <c r="A172" s="48" t="s">
        <v>362</v>
      </c>
      <c r="B172" s="49" t="s">
        <v>402</v>
      </c>
      <c r="C172" s="50">
        <v>89366</v>
      </c>
      <c r="D172" s="45" t="s">
        <v>189</v>
      </c>
      <c r="E172" s="46">
        <v>6</v>
      </c>
      <c r="F172" s="235"/>
      <c r="G172" s="24">
        <f t="shared" si="24"/>
        <v>0</v>
      </c>
      <c r="H172" s="24">
        <f t="shared" si="25"/>
        <v>0</v>
      </c>
      <c r="I172" s="41"/>
      <c r="M172" s="92"/>
      <c r="N172" s="13"/>
      <c r="Q172" s="66"/>
      <c r="AMI172" s="47"/>
    </row>
    <row r="173" spans="1:1023" s="42" customFormat="1" ht="49.5" customHeight="1" x14ac:dyDescent="0.25">
      <c r="A173" s="48" t="s">
        <v>363</v>
      </c>
      <c r="B173" s="49" t="s">
        <v>399</v>
      </c>
      <c r="C173" s="50">
        <v>89367</v>
      </c>
      <c r="D173" s="45" t="s">
        <v>189</v>
      </c>
      <c r="E173" s="46">
        <v>2</v>
      </c>
      <c r="F173" s="235"/>
      <c r="G173" s="24">
        <f t="shared" si="24"/>
        <v>0</v>
      </c>
      <c r="H173" s="24">
        <f t="shared" si="25"/>
        <v>0</v>
      </c>
      <c r="I173" s="41"/>
      <c r="M173" s="92"/>
      <c r="N173" s="13"/>
      <c r="Q173" s="66"/>
      <c r="AMI173" s="47"/>
    </row>
    <row r="174" spans="1:1023" s="42" customFormat="1" ht="60" x14ac:dyDescent="0.25">
      <c r="A174" s="48" t="s">
        <v>364</v>
      </c>
      <c r="B174" s="49" t="s">
        <v>408</v>
      </c>
      <c r="C174" s="50">
        <v>89433</v>
      </c>
      <c r="D174" s="45" t="s">
        <v>189</v>
      </c>
      <c r="E174" s="46">
        <v>1</v>
      </c>
      <c r="F174" s="235"/>
      <c r="G174" s="24">
        <f t="shared" si="24"/>
        <v>0</v>
      </c>
      <c r="H174" s="24">
        <f t="shared" si="25"/>
        <v>0</v>
      </c>
      <c r="I174" s="41"/>
      <c r="M174" s="92"/>
      <c r="N174" s="13"/>
      <c r="Q174" s="66"/>
      <c r="AMI174" s="47"/>
    </row>
    <row r="175" spans="1:1023" s="42" customFormat="1" ht="45" x14ac:dyDescent="0.25">
      <c r="A175" s="48" t="s">
        <v>365</v>
      </c>
      <c r="B175" s="49" t="s">
        <v>414</v>
      </c>
      <c r="C175" s="50">
        <v>89398</v>
      </c>
      <c r="D175" s="45" t="s">
        <v>189</v>
      </c>
      <c r="E175" s="46">
        <v>5</v>
      </c>
      <c r="F175" s="235"/>
      <c r="G175" s="24">
        <f t="shared" si="24"/>
        <v>0</v>
      </c>
      <c r="H175" s="24">
        <f t="shared" si="25"/>
        <v>0</v>
      </c>
      <c r="I175" s="41"/>
      <c r="M175" s="92"/>
      <c r="N175" s="13"/>
      <c r="Q175" s="66"/>
      <c r="AMI175" s="47"/>
    </row>
    <row r="176" spans="1:1023" s="42" customFormat="1" ht="60" x14ac:dyDescent="0.25">
      <c r="A176" s="48" t="s">
        <v>366</v>
      </c>
      <c r="B176" s="49" t="s">
        <v>415</v>
      </c>
      <c r="C176" s="50">
        <v>89985</v>
      </c>
      <c r="D176" s="45" t="s">
        <v>189</v>
      </c>
      <c r="E176" s="46">
        <v>2</v>
      </c>
      <c r="F176" s="235"/>
      <c r="G176" s="24">
        <f t="shared" si="24"/>
        <v>0</v>
      </c>
      <c r="H176" s="24">
        <f t="shared" si="25"/>
        <v>0</v>
      </c>
      <c r="I176" s="41"/>
      <c r="M176" s="92"/>
      <c r="N176" s="13"/>
      <c r="Q176" s="66"/>
      <c r="AMI176" s="47"/>
    </row>
    <row r="177" spans="1:1023" s="42" customFormat="1" ht="48" customHeight="1" x14ac:dyDescent="0.25">
      <c r="A177" s="48" t="s">
        <v>367</v>
      </c>
      <c r="B177" s="49" t="s">
        <v>405</v>
      </c>
      <c r="C177" s="50">
        <v>94792</v>
      </c>
      <c r="D177" s="45" t="s">
        <v>189</v>
      </c>
      <c r="E177" s="46">
        <v>1</v>
      </c>
      <c r="F177" s="235"/>
      <c r="G177" s="24">
        <f t="shared" si="24"/>
        <v>0</v>
      </c>
      <c r="H177" s="24">
        <f t="shared" si="25"/>
        <v>0</v>
      </c>
      <c r="I177" s="41"/>
      <c r="M177" s="92"/>
      <c r="N177" s="13"/>
      <c r="Q177" s="66"/>
      <c r="AMI177" s="47"/>
    </row>
    <row r="178" spans="1:1023" s="42" customFormat="1" ht="60" x14ac:dyDescent="0.25">
      <c r="A178" s="48" t="s">
        <v>368</v>
      </c>
      <c r="B178" s="49" t="s">
        <v>407</v>
      </c>
      <c r="C178" s="50">
        <v>89380</v>
      </c>
      <c r="D178" s="45" t="s">
        <v>189</v>
      </c>
      <c r="E178" s="46">
        <v>2</v>
      </c>
      <c r="F178" s="235"/>
      <c r="G178" s="24">
        <f t="shared" si="24"/>
        <v>0</v>
      </c>
      <c r="H178" s="24">
        <f t="shared" si="25"/>
        <v>0</v>
      </c>
      <c r="I178" s="41"/>
      <c r="M178" s="92"/>
      <c r="N178" s="13"/>
      <c r="Q178" s="66"/>
      <c r="AMI178" s="47"/>
    </row>
    <row r="179" spans="1:1023" s="42" customFormat="1" ht="45" x14ac:dyDescent="0.25">
      <c r="A179" s="48" t="s">
        <v>369</v>
      </c>
      <c r="B179" s="49" t="s">
        <v>395</v>
      </c>
      <c r="C179" s="50">
        <v>89356</v>
      </c>
      <c r="D179" s="45" t="s">
        <v>18</v>
      </c>
      <c r="E179" s="46">
        <v>5</v>
      </c>
      <c r="F179" s="235"/>
      <c r="G179" s="24">
        <f t="shared" si="24"/>
        <v>0</v>
      </c>
      <c r="H179" s="24">
        <f t="shared" si="25"/>
        <v>0</v>
      </c>
      <c r="I179" s="41"/>
      <c r="M179" s="92"/>
      <c r="N179" s="13"/>
      <c r="Q179" s="66"/>
      <c r="AMI179" s="47"/>
    </row>
    <row r="180" spans="1:1023" s="42" customFormat="1" ht="45" x14ac:dyDescent="0.25">
      <c r="A180" s="48" t="s">
        <v>370</v>
      </c>
      <c r="B180" s="49" t="s">
        <v>396</v>
      </c>
      <c r="C180" s="50">
        <v>89357</v>
      </c>
      <c r="D180" s="45" t="s">
        <v>18</v>
      </c>
      <c r="E180" s="46">
        <v>4.7</v>
      </c>
      <c r="F180" s="235"/>
      <c r="G180" s="24">
        <f t="shared" si="24"/>
        <v>0</v>
      </c>
      <c r="H180" s="24">
        <f t="shared" si="25"/>
        <v>0</v>
      </c>
      <c r="I180" s="41"/>
      <c r="M180" s="92"/>
      <c r="N180" s="13"/>
      <c r="Q180" s="66"/>
      <c r="AMI180" s="47"/>
    </row>
    <row r="181" spans="1:1023" s="42" customFormat="1" ht="45" x14ac:dyDescent="0.25">
      <c r="A181" s="48" t="s">
        <v>371</v>
      </c>
      <c r="B181" s="49" t="s">
        <v>394</v>
      </c>
      <c r="C181" s="50">
        <v>103978</v>
      </c>
      <c r="D181" s="45" t="s">
        <v>18</v>
      </c>
      <c r="E181" s="46">
        <v>2.76</v>
      </c>
      <c r="F181" s="235"/>
      <c r="G181" s="24">
        <f t="shared" si="24"/>
        <v>0</v>
      </c>
      <c r="H181" s="24">
        <f t="shared" si="25"/>
        <v>0</v>
      </c>
      <c r="I181" s="41"/>
      <c r="M181" s="92"/>
      <c r="N181" s="13"/>
      <c r="Q181" s="66"/>
      <c r="AMI181" s="47"/>
    </row>
    <row r="182" spans="1:1023" s="58" customFormat="1" x14ac:dyDescent="0.25">
      <c r="A182" s="63" t="s">
        <v>372</v>
      </c>
      <c r="B182" s="64" t="s">
        <v>393</v>
      </c>
      <c r="C182" s="79"/>
      <c r="D182" s="80"/>
      <c r="E182" s="65"/>
      <c r="F182" s="65"/>
      <c r="G182" s="65"/>
      <c r="H182" s="65">
        <f>SUM(H183:H188)</f>
        <v>0</v>
      </c>
      <c r="I182" s="57"/>
      <c r="M182" s="90"/>
      <c r="N182" s="13"/>
      <c r="Q182" s="69"/>
      <c r="AMI182" s="59"/>
    </row>
    <row r="183" spans="1:1023" s="42" customFormat="1" ht="60" x14ac:dyDescent="0.25">
      <c r="A183" s="48" t="s">
        <v>373</v>
      </c>
      <c r="B183" s="49" t="s">
        <v>411</v>
      </c>
      <c r="C183" s="50">
        <v>103947</v>
      </c>
      <c r="D183" s="45" t="s">
        <v>189</v>
      </c>
      <c r="E183" s="46">
        <v>4</v>
      </c>
      <c r="F183" s="235"/>
      <c r="G183" s="24">
        <f t="shared" ref="G183:G188" si="26">ROUND(F183*J$1,2)</f>
        <v>0</v>
      </c>
      <c r="H183" s="24">
        <f t="shared" ref="H183:H188" si="27">ROUND(E183*G183,2)</f>
        <v>0</v>
      </c>
      <c r="I183" s="41"/>
      <c r="M183" s="92"/>
      <c r="N183" s="13"/>
      <c r="Q183" s="66"/>
      <c r="AMI183" s="47"/>
    </row>
    <row r="184" spans="1:1023" s="42" customFormat="1" ht="60" x14ac:dyDescent="0.25">
      <c r="A184" s="48" t="s">
        <v>374</v>
      </c>
      <c r="B184" s="49" t="s">
        <v>402</v>
      </c>
      <c r="C184" s="50">
        <v>89366</v>
      </c>
      <c r="D184" s="45" t="s">
        <v>189</v>
      </c>
      <c r="E184" s="46">
        <v>3</v>
      </c>
      <c r="F184" s="235"/>
      <c r="G184" s="24">
        <f t="shared" si="26"/>
        <v>0</v>
      </c>
      <c r="H184" s="24">
        <f t="shared" si="27"/>
        <v>0</v>
      </c>
      <c r="I184" s="41"/>
      <c r="M184" s="92"/>
      <c r="N184" s="13"/>
      <c r="Q184" s="66"/>
      <c r="AMI184" s="47"/>
    </row>
    <row r="185" spans="1:1023" s="42" customFormat="1" ht="60" x14ac:dyDescent="0.25">
      <c r="A185" s="48" t="s">
        <v>375</v>
      </c>
      <c r="B185" s="49" t="s">
        <v>403</v>
      </c>
      <c r="C185" s="50">
        <v>89396</v>
      </c>
      <c r="D185" s="45" t="s">
        <v>189</v>
      </c>
      <c r="E185" s="46">
        <v>1</v>
      </c>
      <c r="F185" s="235"/>
      <c r="G185" s="24">
        <f t="shared" si="26"/>
        <v>0</v>
      </c>
      <c r="H185" s="24">
        <f t="shared" si="27"/>
        <v>0</v>
      </c>
      <c r="I185" s="41"/>
      <c r="M185" s="92"/>
      <c r="N185" s="13"/>
      <c r="Q185" s="66"/>
      <c r="AMI185" s="47"/>
    </row>
    <row r="186" spans="1:1023" s="42" customFormat="1" ht="45" x14ac:dyDescent="0.25">
      <c r="A186" s="48" t="s">
        <v>376</v>
      </c>
      <c r="B186" s="49" t="s">
        <v>412</v>
      </c>
      <c r="C186" s="50">
        <v>89395</v>
      </c>
      <c r="D186" s="45" t="s">
        <v>189</v>
      </c>
      <c r="E186" s="46">
        <v>2</v>
      </c>
      <c r="F186" s="235"/>
      <c r="G186" s="24">
        <f t="shared" si="26"/>
        <v>0</v>
      </c>
      <c r="H186" s="24">
        <f t="shared" si="27"/>
        <v>0</v>
      </c>
      <c r="I186" s="41"/>
      <c r="M186" s="92"/>
      <c r="N186" s="13"/>
      <c r="Q186" s="66"/>
      <c r="AMI186" s="47"/>
    </row>
    <row r="187" spans="1:1023" s="42" customFormat="1" ht="48.75" customHeight="1" x14ac:dyDescent="0.25">
      <c r="A187" s="48" t="s">
        <v>377</v>
      </c>
      <c r="B187" s="49" t="s">
        <v>398</v>
      </c>
      <c r="C187" s="50">
        <v>89362</v>
      </c>
      <c r="D187" s="45" t="s">
        <v>189</v>
      </c>
      <c r="E187" s="46">
        <v>2</v>
      </c>
      <c r="F187" s="235"/>
      <c r="G187" s="24">
        <f t="shared" si="26"/>
        <v>0</v>
      </c>
      <c r="H187" s="24">
        <f t="shared" si="27"/>
        <v>0</v>
      </c>
      <c r="I187" s="41"/>
      <c r="M187" s="92"/>
      <c r="N187" s="13"/>
      <c r="Q187" s="66"/>
      <c r="AMI187" s="47"/>
    </row>
    <row r="188" spans="1:1023" s="42" customFormat="1" ht="60" x14ac:dyDescent="0.25">
      <c r="A188" s="48" t="s">
        <v>378</v>
      </c>
      <c r="B188" s="49" t="s">
        <v>406</v>
      </c>
      <c r="C188" s="50">
        <v>89987</v>
      </c>
      <c r="D188" s="45" t="s">
        <v>189</v>
      </c>
      <c r="E188" s="46">
        <v>1</v>
      </c>
      <c r="F188" s="235"/>
      <c r="G188" s="24">
        <f t="shared" si="26"/>
        <v>0</v>
      </c>
      <c r="H188" s="24">
        <f t="shared" si="27"/>
        <v>0</v>
      </c>
      <c r="I188" s="41"/>
      <c r="M188" s="92"/>
      <c r="N188" s="13"/>
      <c r="Q188" s="66"/>
      <c r="AMI188" s="47"/>
    </row>
    <row r="189" spans="1:1023" s="58" customFormat="1" x14ac:dyDescent="0.25">
      <c r="A189" s="63" t="s">
        <v>379</v>
      </c>
      <c r="B189" s="87" t="s">
        <v>751</v>
      </c>
      <c r="C189" s="79"/>
      <c r="D189" s="80"/>
      <c r="E189" s="65"/>
      <c r="F189" s="65"/>
      <c r="G189" s="65"/>
      <c r="H189" s="65">
        <f>SUM(H190:H194)</f>
        <v>0</v>
      </c>
      <c r="I189" s="57"/>
      <c r="M189" s="90"/>
      <c r="N189" s="13"/>
      <c r="Q189" s="69"/>
      <c r="AMI189" s="59"/>
    </row>
    <row r="190" spans="1:1023" s="42" customFormat="1" ht="45" x14ac:dyDescent="0.25">
      <c r="A190" s="48" t="s">
        <v>380</v>
      </c>
      <c r="B190" s="49" t="s">
        <v>396</v>
      </c>
      <c r="C190" s="50">
        <v>89357</v>
      </c>
      <c r="D190" s="45" t="s">
        <v>18</v>
      </c>
      <c r="E190" s="46">
        <v>3.51</v>
      </c>
      <c r="F190" s="235"/>
      <c r="G190" s="24">
        <f>ROUND(F190*J$1,2)</f>
        <v>0</v>
      </c>
      <c r="H190" s="24">
        <f t="shared" ref="H190:H194" si="28">ROUND(E190*G190,2)</f>
        <v>0</v>
      </c>
      <c r="I190" s="41"/>
      <c r="M190" s="92"/>
      <c r="N190" s="13"/>
      <c r="Q190" s="66"/>
      <c r="AMI190" s="47"/>
    </row>
    <row r="191" spans="1:1023" s="42" customFormat="1" ht="45" x14ac:dyDescent="0.25">
      <c r="A191" s="48" t="s">
        <v>381</v>
      </c>
      <c r="B191" s="49" t="s">
        <v>395</v>
      </c>
      <c r="C191" s="50">
        <v>89356</v>
      </c>
      <c r="D191" s="45" t="s">
        <v>18</v>
      </c>
      <c r="E191" s="46">
        <v>5.25</v>
      </c>
      <c r="F191" s="235"/>
      <c r="G191" s="24">
        <f>ROUND(F191*J$1,2)</f>
        <v>0</v>
      </c>
      <c r="H191" s="24">
        <f t="shared" si="28"/>
        <v>0</v>
      </c>
      <c r="I191" s="41"/>
      <c r="M191" s="92"/>
      <c r="N191" s="13"/>
      <c r="Q191" s="66"/>
      <c r="AMI191" s="47"/>
    </row>
    <row r="192" spans="1:1023" s="42" customFormat="1" ht="60" x14ac:dyDescent="0.25">
      <c r="A192" s="48" t="s">
        <v>382</v>
      </c>
      <c r="B192" s="49" t="s">
        <v>407</v>
      </c>
      <c r="C192" s="50">
        <v>89380</v>
      </c>
      <c r="D192" s="45" t="s">
        <v>189</v>
      </c>
      <c r="E192" s="46">
        <v>1</v>
      </c>
      <c r="F192" s="235"/>
      <c r="G192" s="24">
        <f>ROUND(F192*J$1,2)</f>
        <v>0</v>
      </c>
      <c r="H192" s="24">
        <f t="shared" si="28"/>
        <v>0</v>
      </c>
      <c r="I192" s="41"/>
      <c r="M192" s="92"/>
      <c r="N192" s="13"/>
      <c r="Q192" s="66"/>
      <c r="AMI192" s="47"/>
    </row>
    <row r="193" spans="1:1023" s="42" customFormat="1" ht="60" x14ac:dyDescent="0.25">
      <c r="A193" s="48" t="s">
        <v>383</v>
      </c>
      <c r="B193" s="49" t="s">
        <v>408</v>
      </c>
      <c r="C193" s="50">
        <v>89433</v>
      </c>
      <c r="D193" s="45" t="s">
        <v>189</v>
      </c>
      <c r="E193" s="46">
        <v>1</v>
      </c>
      <c r="F193" s="235"/>
      <c r="G193" s="24">
        <f>ROUND(F193*J$1,2)</f>
        <v>0</v>
      </c>
      <c r="H193" s="24">
        <f t="shared" si="28"/>
        <v>0</v>
      </c>
      <c r="I193" s="41"/>
      <c r="M193" s="92"/>
      <c r="N193" s="13"/>
      <c r="Q193" s="66"/>
      <c r="AMI193" s="47"/>
    </row>
    <row r="194" spans="1:1023" s="42" customFormat="1" ht="45" x14ac:dyDescent="0.25">
      <c r="A194" s="48" t="s">
        <v>384</v>
      </c>
      <c r="B194" s="49" t="s">
        <v>413</v>
      </c>
      <c r="C194" s="50">
        <v>104011</v>
      </c>
      <c r="D194" s="45" t="s">
        <v>189</v>
      </c>
      <c r="E194" s="46">
        <v>1</v>
      </c>
      <c r="F194" s="235"/>
      <c r="G194" s="24">
        <f>ROUND(F194*J$1,2)</f>
        <v>0</v>
      </c>
      <c r="H194" s="24">
        <f t="shared" si="28"/>
        <v>0</v>
      </c>
      <c r="I194" s="41"/>
      <c r="M194" s="92"/>
      <c r="N194" s="13"/>
      <c r="Q194" s="66"/>
      <c r="AMI194" s="47"/>
    </row>
    <row r="195" spans="1:1023" s="58" customFormat="1" x14ac:dyDescent="0.25">
      <c r="A195" s="63" t="s">
        <v>752</v>
      </c>
      <c r="B195" s="64" t="s">
        <v>756</v>
      </c>
      <c r="C195" s="79"/>
      <c r="D195" s="80"/>
      <c r="E195" s="65"/>
      <c r="F195" s="65"/>
      <c r="G195" s="65"/>
      <c r="H195" s="65">
        <f>SUM(H196:H197)</f>
        <v>0</v>
      </c>
      <c r="I195" s="57"/>
      <c r="M195" s="90"/>
      <c r="N195" s="13"/>
      <c r="Q195" s="69"/>
      <c r="AMI195" s="59"/>
    </row>
    <row r="196" spans="1:1023" s="42" customFormat="1" ht="60" x14ac:dyDescent="0.25">
      <c r="A196" s="48" t="s">
        <v>753</v>
      </c>
      <c r="B196" s="49" t="s">
        <v>755</v>
      </c>
      <c r="C196" s="50">
        <v>95635</v>
      </c>
      <c r="D196" s="45" t="s">
        <v>189</v>
      </c>
      <c r="E196" s="46">
        <v>1</v>
      </c>
      <c r="F196" s="235"/>
      <c r="G196" s="24">
        <f>ROUND(F196*J$1,2)</f>
        <v>0</v>
      </c>
      <c r="H196" s="24">
        <f t="shared" ref="H196:H197" si="29">ROUND(E196*G196,2)</f>
        <v>0</v>
      </c>
      <c r="I196" s="41"/>
      <c r="M196" s="92"/>
      <c r="N196" s="13"/>
      <c r="Q196" s="66"/>
      <c r="AMI196" s="47"/>
    </row>
    <row r="197" spans="1:1023" s="42" customFormat="1" ht="30" x14ac:dyDescent="0.25">
      <c r="A197" s="48" t="s">
        <v>754</v>
      </c>
      <c r="B197" s="49" t="s">
        <v>757</v>
      </c>
      <c r="C197" s="50">
        <v>95675</v>
      </c>
      <c r="D197" s="45" t="s">
        <v>189</v>
      </c>
      <c r="E197" s="46">
        <v>1</v>
      </c>
      <c r="F197" s="235"/>
      <c r="G197" s="24">
        <f>ROUND(F197*J$1,2)</f>
        <v>0</v>
      </c>
      <c r="H197" s="24">
        <f t="shared" si="29"/>
        <v>0</v>
      </c>
      <c r="I197" s="41"/>
      <c r="M197" s="92"/>
      <c r="N197" s="13"/>
      <c r="Q197" s="66"/>
      <c r="AMI197" s="47"/>
    </row>
    <row r="198" spans="1:1023" s="58" customFormat="1" x14ac:dyDescent="0.25">
      <c r="A198" s="6">
        <v>12</v>
      </c>
      <c r="B198" s="19" t="s">
        <v>416</v>
      </c>
      <c r="C198" s="6"/>
      <c r="D198" s="6"/>
      <c r="E198" s="6"/>
      <c r="F198" s="6"/>
      <c r="G198" s="6"/>
      <c r="H198" s="34">
        <f>H199+H202+H205</f>
        <v>0</v>
      </c>
      <c r="I198" s="57"/>
      <c r="M198" s="90"/>
      <c r="N198" s="13"/>
      <c r="Q198" s="69"/>
      <c r="AMI198" s="59"/>
    </row>
    <row r="199" spans="1:1023" s="58" customFormat="1" x14ac:dyDescent="0.25">
      <c r="A199" s="76" t="s">
        <v>453</v>
      </c>
      <c r="B199" s="77" t="s">
        <v>420</v>
      </c>
      <c r="C199" s="76"/>
      <c r="D199" s="76"/>
      <c r="E199" s="76"/>
      <c r="F199" s="76"/>
      <c r="G199" s="76"/>
      <c r="H199" s="78">
        <f>SUM(H200:H201)</f>
        <v>0</v>
      </c>
      <c r="I199" s="57"/>
      <c r="M199" s="90"/>
      <c r="N199" s="13"/>
      <c r="Q199" s="69"/>
      <c r="AMI199" s="59"/>
    </row>
    <row r="200" spans="1:1023" s="42" customFormat="1" ht="75" x14ac:dyDescent="0.25">
      <c r="A200" s="48" t="s">
        <v>455</v>
      </c>
      <c r="B200" s="49" t="s">
        <v>417</v>
      </c>
      <c r="C200" s="50">
        <v>104348</v>
      </c>
      <c r="D200" s="45" t="s">
        <v>189</v>
      </c>
      <c r="E200" s="46">
        <v>2</v>
      </c>
      <c r="F200" s="235"/>
      <c r="G200" s="24">
        <f>ROUND(F200*J$1,2)</f>
        <v>0</v>
      </c>
      <c r="H200" s="24">
        <f t="shared" ref="H200:H201" si="30">ROUND(E200*G200,2)</f>
        <v>0</v>
      </c>
      <c r="I200" s="41"/>
      <c r="M200" s="92"/>
      <c r="N200" s="13"/>
      <c r="Q200" s="66"/>
      <c r="AMI200" s="47"/>
    </row>
    <row r="201" spans="1:1023" s="42" customFormat="1" ht="60" x14ac:dyDescent="0.25">
      <c r="A201" s="48" t="s">
        <v>460</v>
      </c>
      <c r="B201" s="49" t="s">
        <v>418</v>
      </c>
      <c r="C201" s="50">
        <v>89798</v>
      </c>
      <c r="D201" s="45" t="s">
        <v>18</v>
      </c>
      <c r="E201" s="46">
        <v>7.63</v>
      </c>
      <c r="F201" s="235"/>
      <c r="G201" s="24">
        <f>ROUND(F201*J$1,2)</f>
        <v>0</v>
      </c>
      <c r="H201" s="24">
        <f t="shared" si="30"/>
        <v>0</v>
      </c>
      <c r="I201" s="41"/>
      <c r="M201" s="92"/>
      <c r="N201" s="13"/>
      <c r="Q201" s="66"/>
      <c r="AMI201" s="47"/>
    </row>
    <row r="202" spans="1:1023" s="58" customFormat="1" x14ac:dyDescent="0.25">
      <c r="A202" s="63" t="s">
        <v>454</v>
      </c>
      <c r="B202" s="64" t="s">
        <v>419</v>
      </c>
      <c r="C202" s="79"/>
      <c r="D202" s="80"/>
      <c r="E202" s="65"/>
      <c r="F202" s="65"/>
      <c r="G202" s="65"/>
      <c r="H202" s="78">
        <f>SUM(H203:H204)</f>
        <v>0</v>
      </c>
      <c r="I202" s="57"/>
      <c r="M202" s="90"/>
      <c r="N202" s="13"/>
      <c r="Q202" s="69"/>
      <c r="AMI202" s="59"/>
    </row>
    <row r="203" spans="1:1023" s="42" customFormat="1" ht="60" x14ac:dyDescent="0.25">
      <c r="A203" s="48" t="s">
        <v>456</v>
      </c>
      <c r="B203" s="49" t="s">
        <v>422</v>
      </c>
      <c r="C203" s="50">
        <v>97906</v>
      </c>
      <c r="D203" s="45" t="s">
        <v>189</v>
      </c>
      <c r="E203" s="46">
        <v>1</v>
      </c>
      <c r="F203" s="235"/>
      <c r="G203" s="24">
        <f>ROUND(F203*J$1,2)</f>
        <v>0</v>
      </c>
      <c r="H203" s="24">
        <f t="shared" ref="H203:H204" si="31">ROUND(E203*G203,2)</f>
        <v>0</v>
      </c>
      <c r="I203" s="41"/>
      <c r="M203" s="92"/>
      <c r="N203" s="13"/>
      <c r="Q203" s="66"/>
      <c r="AMI203" s="47"/>
    </row>
    <row r="204" spans="1:1023" s="42" customFormat="1" ht="60" x14ac:dyDescent="0.25">
      <c r="A204" s="48" t="s">
        <v>457</v>
      </c>
      <c r="B204" s="49" t="s">
        <v>421</v>
      </c>
      <c r="C204" s="50">
        <v>97907</v>
      </c>
      <c r="D204" s="45" t="s">
        <v>189</v>
      </c>
      <c r="E204" s="46">
        <v>2</v>
      </c>
      <c r="F204" s="235"/>
      <c r="G204" s="24">
        <f>ROUND(F204*J$1,2)</f>
        <v>0</v>
      </c>
      <c r="H204" s="24">
        <f t="shared" si="31"/>
        <v>0</v>
      </c>
      <c r="I204" s="41"/>
      <c r="M204" s="92"/>
      <c r="N204" s="13"/>
      <c r="Q204" s="66"/>
      <c r="AMI204" s="47"/>
    </row>
    <row r="205" spans="1:1023" s="58" customFormat="1" x14ac:dyDescent="0.25">
      <c r="A205" s="63" t="s">
        <v>458</v>
      </c>
      <c r="B205" s="64" t="s">
        <v>423</v>
      </c>
      <c r="C205" s="79"/>
      <c r="D205" s="80"/>
      <c r="E205" s="65"/>
      <c r="F205" s="65"/>
      <c r="G205" s="65"/>
      <c r="H205" s="65">
        <f>SUM(H206:H232)</f>
        <v>0</v>
      </c>
      <c r="I205" s="57"/>
      <c r="M205" s="90"/>
      <c r="N205" s="13"/>
      <c r="Q205" s="69"/>
      <c r="AMI205" s="59"/>
    </row>
    <row r="206" spans="1:1023" s="42" customFormat="1" ht="60" x14ac:dyDescent="0.25">
      <c r="A206" s="81" t="s">
        <v>459</v>
      </c>
      <c r="B206" s="49" t="s">
        <v>424</v>
      </c>
      <c r="C206" s="50">
        <v>89707</v>
      </c>
      <c r="D206" s="45" t="s">
        <v>189</v>
      </c>
      <c r="E206" s="46">
        <v>8</v>
      </c>
      <c r="F206" s="235"/>
      <c r="G206" s="24">
        <f t="shared" ref="G206:G232" si="32">ROUND(F206*J$1,2)</f>
        <v>0</v>
      </c>
      <c r="H206" s="24">
        <f t="shared" ref="H206:H232" si="33">ROUND(E206*G206,2)</f>
        <v>0</v>
      </c>
      <c r="I206" s="41"/>
      <c r="M206" s="92"/>
      <c r="N206" s="13"/>
      <c r="Q206" s="66"/>
      <c r="AMI206" s="47"/>
    </row>
    <row r="207" spans="1:1023" s="42" customFormat="1" ht="60" x14ac:dyDescent="0.25">
      <c r="A207" s="81" t="s">
        <v>461</v>
      </c>
      <c r="B207" s="49" t="s">
        <v>425</v>
      </c>
      <c r="C207" s="50">
        <v>89709</v>
      </c>
      <c r="D207" s="45" t="s">
        <v>189</v>
      </c>
      <c r="E207" s="46">
        <v>1</v>
      </c>
      <c r="F207" s="235"/>
      <c r="G207" s="24">
        <f t="shared" si="32"/>
        <v>0</v>
      </c>
      <c r="H207" s="24">
        <f t="shared" si="33"/>
        <v>0</v>
      </c>
      <c r="I207" s="41"/>
      <c r="M207" s="92"/>
      <c r="N207" s="13"/>
      <c r="Q207" s="66"/>
      <c r="AMI207" s="47"/>
    </row>
    <row r="208" spans="1:1023" s="42" customFormat="1" ht="30" x14ac:dyDescent="0.25">
      <c r="A208" s="81" t="s">
        <v>462</v>
      </c>
      <c r="B208" s="49" t="s">
        <v>428</v>
      </c>
      <c r="C208" s="50" t="s">
        <v>426</v>
      </c>
      <c r="D208" s="45" t="s">
        <v>189</v>
      </c>
      <c r="E208" s="46">
        <v>5</v>
      </c>
      <c r="F208" s="235"/>
      <c r="G208" s="24">
        <f t="shared" si="32"/>
        <v>0</v>
      </c>
      <c r="H208" s="24">
        <f t="shared" si="33"/>
        <v>0</v>
      </c>
      <c r="I208" s="41"/>
      <c r="M208" s="92"/>
      <c r="N208" s="13"/>
      <c r="Q208" s="66"/>
      <c r="AMI208" s="47"/>
    </row>
    <row r="209" spans="1:1023" s="42" customFormat="1" ht="45" x14ac:dyDescent="0.25">
      <c r="A209" s="81" t="s">
        <v>463</v>
      </c>
      <c r="B209" s="49" t="s">
        <v>429</v>
      </c>
      <c r="C209" s="50" t="s">
        <v>427</v>
      </c>
      <c r="D209" s="45" t="s">
        <v>189</v>
      </c>
      <c r="E209" s="46">
        <v>1</v>
      </c>
      <c r="F209" s="235"/>
      <c r="G209" s="24">
        <f t="shared" si="32"/>
        <v>0</v>
      </c>
      <c r="H209" s="24">
        <f t="shared" si="33"/>
        <v>0</v>
      </c>
      <c r="I209" s="41"/>
      <c r="M209" s="92"/>
      <c r="N209" s="13"/>
      <c r="Q209" s="66"/>
      <c r="AMI209" s="47"/>
    </row>
    <row r="210" spans="1:1023" s="42" customFormat="1" ht="30" x14ac:dyDescent="0.25">
      <c r="A210" s="81" t="s">
        <v>464</v>
      </c>
      <c r="B210" s="49" t="s">
        <v>430</v>
      </c>
      <c r="C210" s="50" t="s">
        <v>781</v>
      </c>
      <c r="D210" s="45" t="s">
        <v>189</v>
      </c>
      <c r="E210" s="46">
        <v>1</v>
      </c>
      <c r="F210" s="235"/>
      <c r="G210" s="24">
        <f t="shared" si="32"/>
        <v>0</v>
      </c>
      <c r="H210" s="24">
        <f t="shared" si="33"/>
        <v>0</v>
      </c>
      <c r="I210" s="41"/>
      <c r="M210" s="92"/>
      <c r="N210" s="13"/>
      <c r="Q210" s="66"/>
      <c r="AMI210" s="47"/>
    </row>
    <row r="211" spans="1:1023" s="42" customFormat="1" ht="45" x14ac:dyDescent="0.25">
      <c r="A211" s="48" t="s">
        <v>465</v>
      </c>
      <c r="B211" s="49" t="s">
        <v>431</v>
      </c>
      <c r="C211" s="50">
        <v>86879</v>
      </c>
      <c r="D211" s="45" t="s">
        <v>189</v>
      </c>
      <c r="E211" s="46">
        <v>5</v>
      </c>
      <c r="F211" s="235"/>
      <c r="G211" s="24">
        <f t="shared" si="32"/>
        <v>0</v>
      </c>
      <c r="H211" s="24">
        <f t="shared" si="33"/>
        <v>0</v>
      </c>
      <c r="I211" s="41"/>
      <c r="M211" s="92"/>
      <c r="N211" s="13"/>
      <c r="Q211" s="66"/>
      <c r="AMI211" s="47"/>
    </row>
    <row r="212" spans="1:1023" s="42" customFormat="1" ht="34.5" customHeight="1" x14ac:dyDescent="0.25">
      <c r="A212" s="48" t="s">
        <v>466</v>
      </c>
      <c r="B212" s="49" t="s">
        <v>782</v>
      </c>
      <c r="C212" s="50">
        <v>86879</v>
      </c>
      <c r="D212" s="45" t="s">
        <v>189</v>
      </c>
      <c r="E212" s="46">
        <v>1</v>
      </c>
      <c r="F212" s="235"/>
      <c r="G212" s="24">
        <f t="shared" si="32"/>
        <v>0</v>
      </c>
      <c r="H212" s="24">
        <f t="shared" si="33"/>
        <v>0</v>
      </c>
      <c r="I212" s="41"/>
      <c r="M212" s="92"/>
      <c r="N212" s="13"/>
      <c r="Q212" s="66"/>
      <c r="AMI212" s="47"/>
    </row>
    <row r="213" spans="1:1023" s="42" customFormat="1" ht="60" x14ac:dyDescent="0.25">
      <c r="A213" s="48" t="s">
        <v>467</v>
      </c>
      <c r="B213" s="49" t="s">
        <v>432</v>
      </c>
      <c r="C213" s="50">
        <v>89546</v>
      </c>
      <c r="D213" s="45" t="s">
        <v>189</v>
      </c>
      <c r="E213" s="46">
        <v>1</v>
      </c>
      <c r="F213" s="235"/>
      <c r="G213" s="24">
        <f t="shared" si="32"/>
        <v>0</v>
      </c>
      <c r="H213" s="24">
        <f t="shared" si="33"/>
        <v>0</v>
      </c>
      <c r="I213" s="41"/>
      <c r="M213" s="92"/>
      <c r="N213" s="13"/>
      <c r="Q213" s="66"/>
      <c r="AMI213" s="47"/>
    </row>
    <row r="214" spans="1:1023" s="42" customFormat="1" ht="75" x14ac:dyDescent="0.25">
      <c r="A214" s="48" t="s">
        <v>468</v>
      </c>
      <c r="B214" s="49" t="s">
        <v>435</v>
      </c>
      <c r="C214" s="50">
        <v>89748</v>
      </c>
      <c r="D214" s="45" t="s">
        <v>189</v>
      </c>
      <c r="E214" s="46">
        <v>2</v>
      </c>
      <c r="F214" s="235"/>
      <c r="G214" s="24">
        <f t="shared" si="32"/>
        <v>0</v>
      </c>
      <c r="H214" s="24">
        <f t="shared" si="33"/>
        <v>0</v>
      </c>
      <c r="I214" s="41"/>
      <c r="M214" s="92"/>
      <c r="N214" s="13"/>
      <c r="Q214" s="66"/>
      <c r="AMI214" s="47"/>
    </row>
    <row r="215" spans="1:1023" s="42" customFormat="1" ht="75" x14ac:dyDescent="0.25">
      <c r="A215" s="48" t="s">
        <v>469</v>
      </c>
      <c r="B215" s="49" t="s">
        <v>433</v>
      </c>
      <c r="C215" s="50">
        <v>89728</v>
      </c>
      <c r="D215" s="45" t="s">
        <v>189</v>
      </c>
      <c r="E215" s="46">
        <v>7</v>
      </c>
      <c r="F215" s="235"/>
      <c r="G215" s="24">
        <f t="shared" si="32"/>
        <v>0</v>
      </c>
      <c r="H215" s="24">
        <f t="shared" si="33"/>
        <v>0</v>
      </c>
      <c r="I215" s="41"/>
      <c r="M215" s="92"/>
      <c r="N215" s="13"/>
      <c r="Q215" s="66"/>
      <c r="AMI215" s="47"/>
    </row>
    <row r="216" spans="1:1023" s="42" customFormat="1" ht="75" x14ac:dyDescent="0.25">
      <c r="A216" s="48" t="s">
        <v>470</v>
      </c>
      <c r="B216" s="49" t="s">
        <v>434</v>
      </c>
      <c r="C216" s="50">
        <v>89733</v>
      </c>
      <c r="D216" s="45" t="s">
        <v>189</v>
      </c>
      <c r="E216" s="46">
        <v>1</v>
      </c>
      <c r="F216" s="235"/>
      <c r="G216" s="24">
        <f t="shared" si="32"/>
        <v>0</v>
      </c>
      <c r="H216" s="24">
        <f t="shared" si="33"/>
        <v>0</v>
      </c>
      <c r="I216" s="41"/>
      <c r="M216" s="92"/>
      <c r="N216" s="13"/>
      <c r="Q216" s="66"/>
      <c r="AMI216" s="47"/>
    </row>
    <row r="217" spans="1:1023" s="42" customFormat="1" ht="75" x14ac:dyDescent="0.25">
      <c r="A217" s="48" t="s">
        <v>471</v>
      </c>
      <c r="B217" s="49" t="s">
        <v>436</v>
      </c>
      <c r="C217" s="50">
        <v>89746</v>
      </c>
      <c r="D217" s="45" t="s">
        <v>189</v>
      </c>
      <c r="E217" s="46">
        <v>4</v>
      </c>
      <c r="F217" s="235"/>
      <c r="G217" s="24">
        <f t="shared" si="32"/>
        <v>0</v>
      </c>
      <c r="H217" s="24">
        <f t="shared" si="33"/>
        <v>0</v>
      </c>
      <c r="I217" s="41"/>
      <c r="M217" s="92"/>
      <c r="N217" s="13"/>
      <c r="Q217" s="66"/>
      <c r="AMI217" s="47"/>
    </row>
    <row r="218" spans="1:1023" s="42" customFormat="1" ht="75" x14ac:dyDescent="0.25">
      <c r="A218" s="48" t="s">
        <v>472</v>
      </c>
      <c r="B218" s="49" t="s">
        <v>437</v>
      </c>
      <c r="C218" s="50">
        <v>89726</v>
      </c>
      <c r="D218" s="45" t="s">
        <v>189</v>
      </c>
      <c r="E218" s="46">
        <v>6</v>
      </c>
      <c r="F218" s="235"/>
      <c r="G218" s="24">
        <f t="shared" si="32"/>
        <v>0</v>
      </c>
      <c r="H218" s="24">
        <f t="shared" si="33"/>
        <v>0</v>
      </c>
      <c r="I218" s="41"/>
      <c r="M218" s="92"/>
      <c r="N218" s="13"/>
      <c r="Q218" s="66"/>
      <c r="AMI218" s="47"/>
    </row>
    <row r="219" spans="1:1023" s="42" customFormat="1" ht="75" x14ac:dyDescent="0.25">
      <c r="A219" s="48" t="s">
        <v>473</v>
      </c>
      <c r="B219" s="49" t="s">
        <v>438</v>
      </c>
      <c r="C219" s="50">
        <v>89732</v>
      </c>
      <c r="D219" s="45" t="s">
        <v>189</v>
      </c>
      <c r="E219" s="46">
        <v>6</v>
      </c>
      <c r="F219" s="235"/>
      <c r="G219" s="24">
        <f t="shared" si="32"/>
        <v>0</v>
      </c>
      <c r="H219" s="24">
        <f t="shared" si="33"/>
        <v>0</v>
      </c>
      <c r="I219" s="41"/>
      <c r="M219" s="92"/>
      <c r="N219" s="13"/>
      <c r="Q219" s="66"/>
      <c r="AMI219" s="47"/>
    </row>
    <row r="220" spans="1:1023" s="42" customFormat="1" ht="75" x14ac:dyDescent="0.25">
      <c r="A220" s="48" t="s">
        <v>474</v>
      </c>
      <c r="B220" s="49" t="s">
        <v>439</v>
      </c>
      <c r="C220" s="50">
        <v>89724</v>
      </c>
      <c r="D220" s="45" t="s">
        <v>189</v>
      </c>
      <c r="E220" s="46">
        <v>1</v>
      </c>
      <c r="F220" s="235"/>
      <c r="G220" s="24">
        <f t="shared" si="32"/>
        <v>0</v>
      </c>
      <c r="H220" s="24">
        <f t="shared" si="33"/>
        <v>0</v>
      </c>
      <c r="I220" s="41"/>
      <c r="M220" s="92"/>
      <c r="N220" s="13"/>
      <c r="Q220" s="66"/>
      <c r="AMI220" s="47"/>
    </row>
    <row r="221" spans="1:1023" s="42" customFormat="1" ht="75" x14ac:dyDescent="0.25">
      <c r="A221" s="48" t="s">
        <v>475</v>
      </c>
      <c r="B221" s="49" t="s">
        <v>440</v>
      </c>
      <c r="C221" s="50">
        <v>89731</v>
      </c>
      <c r="D221" s="45" t="s">
        <v>189</v>
      </c>
      <c r="E221" s="46">
        <v>5</v>
      </c>
      <c r="F221" s="235"/>
      <c r="G221" s="24">
        <f t="shared" si="32"/>
        <v>0</v>
      </c>
      <c r="H221" s="24">
        <f t="shared" si="33"/>
        <v>0</v>
      </c>
      <c r="I221" s="41"/>
      <c r="M221" s="92"/>
      <c r="N221" s="13"/>
      <c r="Q221" s="66"/>
      <c r="AMI221" s="47"/>
    </row>
    <row r="222" spans="1:1023" s="42" customFormat="1" ht="30" x14ac:dyDescent="0.25">
      <c r="A222" s="48" t="s">
        <v>476</v>
      </c>
      <c r="B222" s="49" t="s">
        <v>441</v>
      </c>
      <c r="C222" s="50" t="s">
        <v>774</v>
      </c>
      <c r="D222" s="45" t="s">
        <v>189</v>
      </c>
      <c r="E222" s="46">
        <v>5</v>
      </c>
      <c r="F222" s="235"/>
      <c r="G222" s="24">
        <f t="shared" si="32"/>
        <v>0</v>
      </c>
      <c r="H222" s="24">
        <f t="shared" si="33"/>
        <v>0</v>
      </c>
      <c r="I222" s="41"/>
      <c r="M222" s="92"/>
      <c r="N222" s="13"/>
      <c r="Q222" s="66"/>
      <c r="AMI222" s="47"/>
    </row>
    <row r="223" spans="1:1023" s="42" customFormat="1" ht="60" x14ac:dyDescent="0.25">
      <c r="A223" s="48" t="s">
        <v>477</v>
      </c>
      <c r="B223" s="49" t="s">
        <v>442</v>
      </c>
      <c r="C223" s="50" t="s">
        <v>443</v>
      </c>
      <c r="D223" s="45" t="s">
        <v>189</v>
      </c>
      <c r="E223" s="46">
        <v>6</v>
      </c>
      <c r="F223" s="235"/>
      <c r="G223" s="24">
        <f t="shared" si="32"/>
        <v>0</v>
      </c>
      <c r="H223" s="24">
        <f t="shared" si="33"/>
        <v>0</v>
      </c>
      <c r="I223" s="41"/>
      <c r="M223" s="92"/>
      <c r="N223" s="13"/>
      <c r="Q223" s="66"/>
      <c r="AMI223" s="47"/>
    </row>
    <row r="224" spans="1:1023" s="42" customFormat="1" ht="60" x14ac:dyDescent="0.25">
      <c r="A224" s="48" t="s">
        <v>478</v>
      </c>
      <c r="B224" s="49" t="s">
        <v>444</v>
      </c>
      <c r="C224" s="50">
        <v>89567</v>
      </c>
      <c r="D224" s="45" t="s">
        <v>189</v>
      </c>
      <c r="E224" s="46">
        <v>1</v>
      </c>
      <c r="F224" s="235"/>
      <c r="G224" s="24">
        <f t="shared" si="32"/>
        <v>0</v>
      </c>
      <c r="H224" s="24">
        <f t="shared" si="33"/>
        <v>0</v>
      </c>
      <c r="I224" s="41"/>
      <c r="M224" s="92"/>
      <c r="N224" s="13"/>
      <c r="Q224" s="66"/>
      <c r="AMI224" s="47"/>
    </row>
    <row r="225" spans="1:1023" s="42" customFormat="1" ht="75" x14ac:dyDescent="0.25">
      <c r="A225" s="48" t="s">
        <v>479</v>
      </c>
      <c r="B225" s="49" t="s">
        <v>445</v>
      </c>
      <c r="C225" s="50">
        <v>89783</v>
      </c>
      <c r="D225" s="45" t="s">
        <v>189</v>
      </c>
      <c r="E225" s="46">
        <v>2</v>
      </c>
      <c r="F225" s="235"/>
      <c r="G225" s="24">
        <f t="shared" si="32"/>
        <v>0</v>
      </c>
      <c r="H225" s="24">
        <f t="shared" si="33"/>
        <v>0</v>
      </c>
      <c r="I225" s="41"/>
      <c r="M225" s="92"/>
      <c r="N225" s="13"/>
      <c r="Q225" s="66"/>
      <c r="AMI225" s="47"/>
    </row>
    <row r="226" spans="1:1023" s="42" customFormat="1" ht="75" x14ac:dyDescent="0.25">
      <c r="A226" s="48" t="s">
        <v>480</v>
      </c>
      <c r="B226" s="49" t="s">
        <v>446</v>
      </c>
      <c r="C226" s="50">
        <v>89785</v>
      </c>
      <c r="D226" s="45" t="s">
        <v>189</v>
      </c>
      <c r="E226" s="46">
        <v>1</v>
      </c>
      <c r="F226" s="235"/>
      <c r="G226" s="24">
        <f t="shared" si="32"/>
        <v>0</v>
      </c>
      <c r="H226" s="24">
        <f t="shared" si="33"/>
        <v>0</v>
      </c>
      <c r="I226" s="41"/>
      <c r="M226" s="92"/>
      <c r="N226" s="13"/>
      <c r="Q226" s="66"/>
      <c r="AMI226" s="47"/>
    </row>
    <row r="227" spans="1:1023" s="42" customFormat="1" ht="63.75" customHeight="1" x14ac:dyDescent="0.25">
      <c r="A227" s="48" t="s">
        <v>481</v>
      </c>
      <c r="B227" s="49" t="s">
        <v>448</v>
      </c>
      <c r="C227" s="50">
        <v>89778</v>
      </c>
      <c r="D227" s="45" t="s">
        <v>189</v>
      </c>
      <c r="E227" s="46">
        <v>13</v>
      </c>
      <c r="F227" s="235"/>
      <c r="G227" s="24">
        <f t="shared" si="32"/>
        <v>0</v>
      </c>
      <c r="H227" s="24">
        <f t="shared" si="33"/>
        <v>0</v>
      </c>
      <c r="I227" s="41"/>
      <c r="M227" s="92"/>
      <c r="N227" s="13"/>
      <c r="Q227" s="66"/>
      <c r="AMI227" s="47"/>
    </row>
    <row r="228" spans="1:1023" s="42" customFormat="1" ht="61.5" customHeight="1" x14ac:dyDescent="0.25">
      <c r="A228" s="48" t="s">
        <v>482</v>
      </c>
      <c r="B228" s="49" t="s">
        <v>447</v>
      </c>
      <c r="C228" s="50">
        <v>89753</v>
      </c>
      <c r="D228" s="45" t="s">
        <v>189</v>
      </c>
      <c r="E228" s="46">
        <v>16</v>
      </c>
      <c r="F228" s="235"/>
      <c r="G228" s="24">
        <f t="shared" si="32"/>
        <v>0</v>
      </c>
      <c r="H228" s="24">
        <f t="shared" si="33"/>
        <v>0</v>
      </c>
      <c r="I228" s="41"/>
      <c r="M228" s="92"/>
      <c r="N228" s="13"/>
      <c r="Q228" s="66"/>
      <c r="AMI228" s="47"/>
    </row>
    <row r="229" spans="1:1023" s="42" customFormat="1" ht="60" x14ac:dyDescent="0.25">
      <c r="A229" s="48" t="s">
        <v>483</v>
      </c>
      <c r="B229" s="49" t="s">
        <v>449</v>
      </c>
      <c r="C229" s="50">
        <v>89714</v>
      </c>
      <c r="D229" s="45" t="s">
        <v>18</v>
      </c>
      <c r="E229" s="46">
        <v>28.3</v>
      </c>
      <c r="F229" s="235"/>
      <c r="G229" s="24">
        <f t="shared" si="32"/>
        <v>0</v>
      </c>
      <c r="H229" s="24">
        <f t="shared" si="33"/>
        <v>0</v>
      </c>
      <c r="I229" s="41"/>
      <c r="M229" s="92"/>
      <c r="N229" s="13"/>
      <c r="Q229" s="66"/>
      <c r="AMI229" s="47"/>
    </row>
    <row r="230" spans="1:1023" s="42" customFormat="1" ht="60" x14ac:dyDescent="0.25">
      <c r="A230" s="48" t="s">
        <v>484</v>
      </c>
      <c r="B230" s="49" t="s">
        <v>450</v>
      </c>
      <c r="C230" s="50">
        <v>89711</v>
      </c>
      <c r="D230" s="45" t="s">
        <v>18</v>
      </c>
      <c r="E230" s="46">
        <v>12.76</v>
      </c>
      <c r="F230" s="235"/>
      <c r="G230" s="24">
        <f t="shared" si="32"/>
        <v>0</v>
      </c>
      <c r="H230" s="24">
        <f t="shared" si="33"/>
        <v>0</v>
      </c>
      <c r="I230" s="41"/>
      <c r="M230" s="92"/>
      <c r="N230" s="13"/>
      <c r="Q230" s="66"/>
      <c r="AMI230" s="47"/>
    </row>
    <row r="231" spans="1:1023" s="42" customFormat="1" ht="60" x14ac:dyDescent="0.25">
      <c r="A231" s="48" t="s">
        <v>485</v>
      </c>
      <c r="B231" s="49" t="s">
        <v>451</v>
      </c>
      <c r="C231" s="50">
        <v>89712</v>
      </c>
      <c r="D231" s="45" t="s">
        <v>18</v>
      </c>
      <c r="E231" s="46">
        <v>11.05</v>
      </c>
      <c r="F231" s="235"/>
      <c r="G231" s="24">
        <f t="shared" si="32"/>
        <v>0</v>
      </c>
      <c r="H231" s="24">
        <f t="shared" si="33"/>
        <v>0</v>
      </c>
      <c r="I231" s="41"/>
      <c r="M231" s="92"/>
      <c r="N231" s="13"/>
      <c r="Q231" s="66"/>
      <c r="AMI231" s="47"/>
    </row>
    <row r="232" spans="1:1023" s="42" customFormat="1" ht="62.25" customHeight="1" x14ac:dyDescent="0.25">
      <c r="A232" s="48" t="s">
        <v>486</v>
      </c>
      <c r="B232" s="49" t="s">
        <v>452</v>
      </c>
      <c r="C232" s="50">
        <v>89784</v>
      </c>
      <c r="D232" s="45" t="s">
        <v>189</v>
      </c>
      <c r="E232" s="46">
        <v>2</v>
      </c>
      <c r="F232" s="235"/>
      <c r="G232" s="24">
        <f t="shared" si="32"/>
        <v>0</v>
      </c>
      <c r="H232" s="24">
        <f t="shared" si="33"/>
        <v>0</v>
      </c>
      <c r="I232" s="41"/>
      <c r="M232" s="92"/>
      <c r="N232" s="13"/>
      <c r="Q232" s="66"/>
      <c r="AMI232" s="47"/>
    </row>
    <row r="233" spans="1:1023" s="5" customFormat="1" x14ac:dyDescent="0.25">
      <c r="A233" s="6">
        <v>13</v>
      </c>
      <c r="B233" s="19" t="s">
        <v>99</v>
      </c>
      <c r="C233" s="6"/>
      <c r="D233" s="6"/>
      <c r="E233" s="6"/>
      <c r="F233" s="6"/>
      <c r="G233" s="6"/>
      <c r="H233" s="34">
        <f>H234+H268+H305+H357+H383+H434+H460</f>
        <v>0</v>
      </c>
      <c r="I233" s="22"/>
      <c r="M233" s="89"/>
      <c r="N233" s="13"/>
      <c r="Q233" s="66"/>
      <c r="AMI233"/>
    </row>
    <row r="234" spans="1:1023" s="5" customFormat="1" x14ac:dyDescent="0.25">
      <c r="A234" s="6" t="s">
        <v>487</v>
      </c>
      <c r="B234" s="19" t="s">
        <v>101</v>
      </c>
      <c r="C234" s="6"/>
      <c r="D234" s="35"/>
      <c r="E234" s="35"/>
      <c r="F234" s="35"/>
      <c r="G234" s="35"/>
      <c r="H234" s="8">
        <f>SUM(H235:H267)</f>
        <v>0</v>
      </c>
      <c r="I234" s="22"/>
      <c r="M234" s="89"/>
      <c r="N234" s="13"/>
      <c r="Q234" s="66"/>
      <c r="AMI234"/>
    </row>
    <row r="235" spans="1:1023" ht="60" x14ac:dyDescent="0.25">
      <c r="A235" s="29" t="s">
        <v>488</v>
      </c>
      <c r="B235" s="95" t="s">
        <v>102</v>
      </c>
      <c r="C235" s="51">
        <v>87263</v>
      </c>
      <c r="D235" s="97" t="s">
        <v>15</v>
      </c>
      <c r="E235" s="46">
        <f>5*3.4</f>
        <v>17</v>
      </c>
      <c r="F235" s="235"/>
      <c r="G235" s="24">
        <f t="shared" ref="G235:G267" si="34">ROUND(F235*J$1,2)</f>
        <v>0</v>
      </c>
      <c r="H235" s="24">
        <f t="shared" ref="H235:H267" si="35">ROUND(E235*G235,2)</f>
        <v>0</v>
      </c>
      <c r="M235" s="94"/>
      <c r="N235" s="13"/>
    </row>
    <row r="236" spans="1:1023" ht="75" x14ac:dyDescent="0.25">
      <c r="A236" s="29" t="s">
        <v>489</v>
      </c>
      <c r="B236" s="95" t="s">
        <v>103</v>
      </c>
      <c r="C236" s="51">
        <v>87735</v>
      </c>
      <c r="D236" s="97" t="s">
        <v>15</v>
      </c>
      <c r="E236" s="46">
        <f>E235</f>
        <v>17</v>
      </c>
      <c r="F236" s="235"/>
      <c r="G236" s="24">
        <f t="shared" si="34"/>
        <v>0</v>
      </c>
      <c r="H236" s="24">
        <f t="shared" si="35"/>
        <v>0</v>
      </c>
      <c r="M236" s="94"/>
      <c r="N236" s="13"/>
    </row>
    <row r="237" spans="1:1023" ht="45" x14ac:dyDescent="0.25">
      <c r="A237" s="29" t="s">
        <v>490</v>
      </c>
      <c r="B237" s="95" t="s">
        <v>104</v>
      </c>
      <c r="C237" s="51">
        <v>86916</v>
      </c>
      <c r="D237" s="97" t="s">
        <v>8</v>
      </c>
      <c r="E237" s="46">
        <v>1</v>
      </c>
      <c r="F237" s="235"/>
      <c r="G237" s="24">
        <f t="shared" si="34"/>
        <v>0</v>
      </c>
      <c r="H237" s="24">
        <f t="shared" si="35"/>
        <v>0</v>
      </c>
      <c r="M237" s="94"/>
      <c r="N237" s="13"/>
    </row>
    <row r="238" spans="1:1023" ht="75" x14ac:dyDescent="0.25">
      <c r="A238" s="29" t="s">
        <v>491</v>
      </c>
      <c r="B238" s="95" t="s">
        <v>105</v>
      </c>
      <c r="C238" s="51">
        <v>86919</v>
      </c>
      <c r="D238" s="97" t="s">
        <v>8</v>
      </c>
      <c r="E238" s="46">
        <v>1</v>
      </c>
      <c r="F238" s="235"/>
      <c r="G238" s="24">
        <f t="shared" si="34"/>
        <v>0</v>
      </c>
      <c r="H238" s="24">
        <f t="shared" si="35"/>
        <v>0</v>
      </c>
      <c r="M238" s="94"/>
      <c r="N238" s="13"/>
    </row>
    <row r="239" spans="1:1023" ht="45" x14ac:dyDescent="0.25">
      <c r="A239" s="29" t="s">
        <v>492</v>
      </c>
      <c r="B239" s="95" t="s">
        <v>106</v>
      </c>
      <c r="C239" s="51">
        <v>86889</v>
      </c>
      <c r="D239" s="97" t="s">
        <v>18</v>
      </c>
      <c r="E239" s="46">
        <v>3.4</v>
      </c>
      <c r="F239" s="235"/>
      <c r="G239" s="24">
        <f t="shared" si="34"/>
        <v>0</v>
      </c>
      <c r="H239" s="24">
        <f t="shared" si="35"/>
        <v>0</v>
      </c>
      <c r="M239" s="94"/>
      <c r="N239" s="13"/>
    </row>
    <row r="240" spans="1:1023" ht="30" x14ac:dyDescent="0.25">
      <c r="A240" s="29" t="s">
        <v>493</v>
      </c>
      <c r="B240" s="95" t="s">
        <v>107</v>
      </c>
      <c r="C240" s="51">
        <v>98685</v>
      </c>
      <c r="D240" s="97" t="s">
        <v>18</v>
      </c>
      <c r="E240" s="46">
        <f>3.4+2*0.5</f>
        <v>4.4000000000000004</v>
      </c>
      <c r="F240" s="235"/>
      <c r="G240" s="24">
        <f t="shared" si="34"/>
        <v>0</v>
      </c>
      <c r="H240" s="24">
        <f t="shared" si="35"/>
        <v>0</v>
      </c>
      <c r="M240" s="94"/>
      <c r="N240" s="13"/>
    </row>
    <row r="241" spans="1:14" ht="30" x14ac:dyDescent="0.25">
      <c r="A241" s="29" t="s">
        <v>494</v>
      </c>
      <c r="B241" s="95" t="s">
        <v>108</v>
      </c>
      <c r="C241" s="51" t="s">
        <v>771</v>
      </c>
      <c r="D241" s="97" t="s">
        <v>15</v>
      </c>
      <c r="E241" s="85">
        <f>2*0.9</f>
        <v>1.8</v>
      </c>
      <c r="F241" s="235"/>
      <c r="G241" s="24">
        <f t="shared" si="34"/>
        <v>0</v>
      </c>
      <c r="H241" s="24">
        <f t="shared" si="35"/>
        <v>0</v>
      </c>
      <c r="J241" s="36"/>
      <c r="M241" s="94"/>
      <c r="N241" s="13"/>
    </row>
    <row r="242" spans="1:14" ht="30" x14ac:dyDescent="0.25">
      <c r="A242" s="29" t="s">
        <v>495</v>
      </c>
      <c r="B242" s="95" t="s">
        <v>109</v>
      </c>
      <c r="C242" s="51">
        <v>93183</v>
      </c>
      <c r="D242" s="97" t="s">
        <v>18</v>
      </c>
      <c r="E242" s="46">
        <f>1*(2+2*0.15)</f>
        <v>2.2999999999999998</v>
      </c>
      <c r="F242" s="235"/>
      <c r="G242" s="24">
        <f t="shared" si="34"/>
        <v>0</v>
      </c>
      <c r="H242" s="24">
        <f t="shared" si="35"/>
        <v>0</v>
      </c>
      <c r="M242" s="94"/>
      <c r="N242" s="13"/>
    </row>
    <row r="243" spans="1:14" ht="30" x14ac:dyDescent="0.25">
      <c r="A243" s="29" t="s">
        <v>496</v>
      </c>
      <c r="B243" s="95" t="s">
        <v>110</v>
      </c>
      <c r="C243" s="51">
        <v>93195</v>
      </c>
      <c r="D243" s="97" t="s">
        <v>18</v>
      </c>
      <c r="E243" s="46">
        <f>E242</f>
        <v>2.2999999999999998</v>
      </c>
      <c r="F243" s="235"/>
      <c r="G243" s="24">
        <f t="shared" si="34"/>
        <v>0</v>
      </c>
      <c r="H243" s="24">
        <f t="shared" si="35"/>
        <v>0</v>
      </c>
      <c r="M243" s="94"/>
      <c r="N243" s="13"/>
    </row>
    <row r="244" spans="1:14" ht="90" x14ac:dyDescent="0.25">
      <c r="A244" s="29" t="s">
        <v>497</v>
      </c>
      <c r="B244" s="95" t="s">
        <v>111</v>
      </c>
      <c r="C244" s="51" t="s">
        <v>743</v>
      </c>
      <c r="D244" s="97" t="s">
        <v>15</v>
      </c>
      <c r="E244" s="46">
        <f>1*(2*0.6)</f>
        <v>1.2</v>
      </c>
      <c r="F244" s="235"/>
      <c r="G244" s="24">
        <f t="shared" si="34"/>
        <v>0</v>
      </c>
      <c r="H244" s="24">
        <f t="shared" si="35"/>
        <v>0</v>
      </c>
      <c r="M244" s="94"/>
      <c r="N244" s="13"/>
    </row>
    <row r="245" spans="1:14" ht="30" x14ac:dyDescent="0.25">
      <c r="A245" s="29" t="s">
        <v>498</v>
      </c>
      <c r="B245" s="95" t="s">
        <v>112</v>
      </c>
      <c r="C245" s="51">
        <v>93184</v>
      </c>
      <c r="D245" s="97" t="s">
        <v>18</v>
      </c>
      <c r="E245" s="46">
        <f>1*(0.8+2*0.15)</f>
        <v>1.1000000000000001</v>
      </c>
      <c r="F245" s="235"/>
      <c r="G245" s="24">
        <f t="shared" si="34"/>
        <v>0</v>
      </c>
      <c r="H245" s="24">
        <f t="shared" si="35"/>
        <v>0</v>
      </c>
      <c r="M245" s="94"/>
      <c r="N245" s="13"/>
    </row>
    <row r="246" spans="1:14" ht="105" x14ac:dyDescent="0.25">
      <c r="A246" s="29" t="s">
        <v>499</v>
      </c>
      <c r="B246" s="95" t="s">
        <v>113</v>
      </c>
      <c r="C246" s="51">
        <v>90843</v>
      </c>
      <c r="D246" s="97" t="s">
        <v>8</v>
      </c>
      <c r="E246" s="46">
        <v>1</v>
      </c>
      <c r="F246" s="235"/>
      <c r="G246" s="24">
        <f t="shared" si="34"/>
        <v>0</v>
      </c>
      <c r="H246" s="24">
        <f t="shared" si="35"/>
        <v>0</v>
      </c>
      <c r="M246" s="94"/>
      <c r="N246" s="13"/>
    </row>
    <row r="247" spans="1:14" ht="30" x14ac:dyDescent="0.25">
      <c r="A247" s="29" t="s">
        <v>500</v>
      </c>
      <c r="B247" s="83" t="s">
        <v>114</v>
      </c>
      <c r="C247" s="98">
        <v>102193</v>
      </c>
      <c r="D247" s="99" t="s">
        <v>15</v>
      </c>
      <c r="E247" s="85">
        <f>E246*2*(0.8*2.1)</f>
        <v>3.3600000000000003</v>
      </c>
      <c r="F247" s="236"/>
      <c r="G247" s="24">
        <f t="shared" si="34"/>
        <v>0</v>
      </c>
      <c r="H247" s="24">
        <f t="shared" si="35"/>
        <v>0</v>
      </c>
      <c r="M247" s="94"/>
      <c r="N247" s="13"/>
    </row>
    <row r="248" spans="1:14" ht="30" x14ac:dyDescent="0.25">
      <c r="A248" s="29" t="s">
        <v>501</v>
      </c>
      <c r="B248" s="83" t="s">
        <v>115</v>
      </c>
      <c r="C248" s="98">
        <v>102197</v>
      </c>
      <c r="D248" s="99" t="s">
        <v>15</v>
      </c>
      <c r="E248" s="85">
        <f>E247</f>
        <v>3.3600000000000003</v>
      </c>
      <c r="F248" s="236"/>
      <c r="G248" s="24">
        <f t="shared" si="34"/>
        <v>0</v>
      </c>
      <c r="H248" s="24">
        <f t="shared" si="35"/>
        <v>0</v>
      </c>
      <c r="M248" s="94"/>
      <c r="N248" s="13"/>
    </row>
    <row r="249" spans="1:14" ht="45" x14ac:dyDescent="0.25">
      <c r="A249" s="29" t="s">
        <v>502</v>
      </c>
      <c r="B249" s="83" t="s">
        <v>116</v>
      </c>
      <c r="C249" s="98">
        <v>102219</v>
      </c>
      <c r="D249" s="99" t="s">
        <v>15</v>
      </c>
      <c r="E249" s="85">
        <f>E247</f>
        <v>3.3600000000000003</v>
      </c>
      <c r="F249" s="236"/>
      <c r="G249" s="24">
        <f t="shared" si="34"/>
        <v>0</v>
      </c>
      <c r="H249" s="24">
        <f t="shared" si="35"/>
        <v>0</v>
      </c>
      <c r="M249" s="94"/>
      <c r="N249" s="13"/>
    </row>
    <row r="250" spans="1:14" ht="60" x14ac:dyDescent="0.25">
      <c r="A250" s="29" t="s">
        <v>503</v>
      </c>
      <c r="B250" s="95" t="s">
        <v>117</v>
      </c>
      <c r="C250" s="51">
        <v>87878</v>
      </c>
      <c r="D250" s="97" t="s">
        <v>15</v>
      </c>
      <c r="E250" s="46">
        <f>(2*(5+3.4)*3)-(E244+E246*0.8*2.1)</f>
        <v>47.52</v>
      </c>
      <c r="F250" s="235"/>
      <c r="G250" s="24">
        <f t="shared" si="34"/>
        <v>0</v>
      </c>
      <c r="H250" s="24">
        <f t="shared" si="35"/>
        <v>0</v>
      </c>
      <c r="I250" s="2"/>
      <c r="M250" s="94"/>
      <c r="N250" s="13"/>
    </row>
    <row r="251" spans="1:14" ht="90" x14ac:dyDescent="0.25">
      <c r="A251" s="29" t="s">
        <v>504</v>
      </c>
      <c r="B251" s="95" t="s">
        <v>118</v>
      </c>
      <c r="C251" s="51">
        <v>87529</v>
      </c>
      <c r="D251" s="97" t="s">
        <v>15</v>
      </c>
      <c r="E251" s="46">
        <f>E250</f>
        <v>47.52</v>
      </c>
      <c r="F251" s="235"/>
      <c r="G251" s="24">
        <f t="shared" si="34"/>
        <v>0</v>
      </c>
      <c r="H251" s="24">
        <f t="shared" si="35"/>
        <v>0</v>
      </c>
      <c r="I251" s="2"/>
      <c r="M251" s="94"/>
      <c r="N251" s="13"/>
    </row>
    <row r="252" spans="1:14" ht="30" x14ac:dyDescent="0.25">
      <c r="A252" s="29" t="s">
        <v>505</v>
      </c>
      <c r="B252" s="95" t="s">
        <v>119</v>
      </c>
      <c r="C252" s="51">
        <v>88485</v>
      </c>
      <c r="D252" s="97" t="s">
        <v>15</v>
      </c>
      <c r="E252" s="46">
        <f>E250</f>
        <v>47.52</v>
      </c>
      <c r="F252" s="235"/>
      <c r="G252" s="24">
        <f t="shared" si="34"/>
        <v>0</v>
      </c>
      <c r="H252" s="24">
        <f t="shared" si="35"/>
        <v>0</v>
      </c>
      <c r="I252" s="2"/>
      <c r="M252" s="94"/>
      <c r="N252" s="13"/>
    </row>
    <row r="253" spans="1:14" ht="33.75" customHeight="1" x14ac:dyDescent="0.25">
      <c r="A253" s="29" t="s">
        <v>506</v>
      </c>
      <c r="B253" s="95" t="s">
        <v>120</v>
      </c>
      <c r="C253" s="51">
        <v>88489</v>
      </c>
      <c r="D253" s="97" t="s">
        <v>15</v>
      </c>
      <c r="E253" s="46">
        <f>E250</f>
        <v>47.52</v>
      </c>
      <c r="F253" s="235"/>
      <c r="G253" s="24">
        <f t="shared" si="34"/>
        <v>0</v>
      </c>
      <c r="H253" s="24">
        <f t="shared" si="35"/>
        <v>0</v>
      </c>
      <c r="I253" s="2"/>
      <c r="M253" s="94"/>
      <c r="N253" s="13"/>
    </row>
    <row r="254" spans="1:14" ht="62.25" customHeight="1" x14ac:dyDescent="0.25">
      <c r="A254" s="29" t="s">
        <v>507</v>
      </c>
      <c r="B254" s="83" t="s">
        <v>51</v>
      </c>
      <c r="C254" s="98">
        <v>87882</v>
      </c>
      <c r="D254" s="99" t="s">
        <v>15</v>
      </c>
      <c r="E254" s="85">
        <f>E235</f>
        <v>17</v>
      </c>
      <c r="F254" s="236"/>
      <c r="G254" s="24">
        <f t="shared" si="34"/>
        <v>0</v>
      </c>
      <c r="H254" s="24">
        <f t="shared" si="35"/>
        <v>0</v>
      </c>
      <c r="I254" s="2"/>
      <c r="M254" s="94"/>
      <c r="N254" s="13"/>
    </row>
    <row r="255" spans="1:14" ht="60" x14ac:dyDescent="0.25">
      <c r="A255" s="29" t="s">
        <v>508</v>
      </c>
      <c r="B255" s="83" t="s">
        <v>52</v>
      </c>
      <c r="C255" s="98">
        <v>87411</v>
      </c>
      <c r="D255" s="99" t="s">
        <v>15</v>
      </c>
      <c r="E255" s="85">
        <f>E254</f>
        <v>17</v>
      </c>
      <c r="F255" s="236"/>
      <c r="G255" s="24">
        <f t="shared" si="34"/>
        <v>0</v>
      </c>
      <c r="H255" s="24">
        <f t="shared" si="35"/>
        <v>0</v>
      </c>
      <c r="I255" s="2"/>
      <c r="M255" s="94"/>
      <c r="N255" s="13"/>
    </row>
    <row r="256" spans="1:14" ht="30" x14ac:dyDescent="0.25">
      <c r="A256" s="29" t="s">
        <v>509</v>
      </c>
      <c r="B256" s="95" t="s">
        <v>53</v>
      </c>
      <c r="C256" s="51">
        <v>88484</v>
      </c>
      <c r="D256" s="97" t="s">
        <v>15</v>
      </c>
      <c r="E256" s="46">
        <f>E254</f>
        <v>17</v>
      </c>
      <c r="F256" s="235"/>
      <c r="G256" s="24">
        <f t="shared" si="34"/>
        <v>0</v>
      </c>
      <c r="H256" s="24">
        <f t="shared" si="35"/>
        <v>0</v>
      </c>
      <c r="I256" s="2"/>
      <c r="M256" s="94"/>
      <c r="N256" s="13"/>
    </row>
    <row r="257" spans="1:14" ht="36" customHeight="1" x14ac:dyDescent="0.25">
      <c r="A257" s="29" t="s">
        <v>510</v>
      </c>
      <c r="B257" s="95" t="s">
        <v>745</v>
      </c>
      <c r="C257" s="51">
        <v>88488</v>
      </c>
      <c r="D257" s="97" t="s">
        <v>15</v>
      </c>
      <c r="E257" s="46">
        <f>E254</f>
        <v>17</v>
      </c>
      <c r="F257" s="236"/>
      <c r="G257" s="24">
        <f t="shared" si="34"/>
        <v>0</v>
      </c>
      <c r="H257" s="24">
        <f t="shared" si="35"/>
        <v>0</v>
      </c>
      <c r="I257" s="2"/>
      <c r="M257" s="94"/>
      <c r="N257" s="13"/>
    </row>
    <row r="258" spans="1:14" ht="30" x14ac:dyDescent="0.25">
      <c r="A258" s="29" t="s">
        <v>511</v>
      </c>
      <c r="B258" s="95" t="s">
        <v>121</v>
      </c>
      <c r="C258" s="51">
        <v>98689</v>
      </c>
      <c r="D258" s="97" t="s">
        <v>18</v>
      </c>
      <c r="E258" s="46">
        <v>0.8</v>
      </c>
      <c r="F258" s="235"/>
      <c r="G258" s="24">
        <f t="shared" si="34"/>
        <v>0</v>
      </c>
      <c r="H258" s="24">
        <f t="shared" si="35"/>
        <v>0</v>
      </c>
      <c r="I258" s="2"/>
      <c r="M258" s="94"/>
      <c r="N258" s="13"/>
    </row>
    <row r="259" spans="1:14" ht="60" x14ac:dyDescent="0.25">
      <c r="A259" s="29" t="s">
        <v>512</v>
      </c>
      <c r="B259" s="95" t="s">
        <v>122</v>
      </c>
      <c r="C259" s="51">
        <v>101965</v>
      </c>
      <c r="D259" s="97" t="s">
        <v>18</v>
      </c>
      <c r="E259" s="46">
        <v>2.0499999999999998</v>
      </c>
      <c r="F259" s="235"/>
      <c r="G259" s="24">
        <f t="shared" si="34"/>
        <v>0</v>
      </c>
      <c r="H259" s="24">
        <f t="shared" si="35"/>
        <v>0</v>
      </c>
      <c r="I259" s="2"/>
      <c r="M259" s="94"/>
      <c r="N259" s="13"/>
    </row>
    <row r="260" spans="1:14" ht="45" x14ac:dyDescent="0.25">
      <c r="A260" s="29" t="s">
        <v>513</v>
      </c>
      <c r="B260" s="95" t="s">
        <v>123</v>
      </c>
      <c r="C260" s="51">
        <v>88650</v>
      </c>
      <c r="D260" s="97" t="s">
        <v>18</v>
      </c>
      <c r="E260" s="46">
        <f>2*(5+3.4)-0.8</f>
        <v>16</v>
      </c>
      <c r="F260" s="235"/>
      <c r="G260" s="24">
        <f t="shared" si="34"/>
        <v>0</v>
      </c>
      <c r="H260" s="24">
        <f t="shared" si="35"/>
        <v>0</v>
      </c>
      <c r="I260" s="2"/>
      <c r="M260" s="94"/>
      <c r="N260" s="13"/>
    </row>
    <row r="261" spans="1:14" ht="60" customHeight="1" x14ac:dyDescent="0.25">
      <c r="A261" s="29" t="s">
        <v>514</v>
      </c>
      <c r="B261" s="95" t="s">
        <v>124</v>
      </c>
      <c r="C261" s="51">
        <v>97585</v>
      </c>
      <c r="D261" s="97" t="s">
        <v>8</v>
      </c>
      <c r="E261" s="46">
        <v>1</v>
      </c>
      <c r="F261" s="235"/>
      <c r="G261" s="24">
        <f t="shared" si="34"/>
        <v>0</v>
      </c>
      <c r="H261" s="24">
        <f t="shared" si="35"/>
        <v>0</v>
      </c>
      <c r="I261" s="2"/>
      <c r="M261" s="94"/>
      <c r="N261" s="13"/>
    </row>
    <row r="262" spans="1:14" ht="90" x14ac:dyDescent="0.25">
      <c r="A262" s="29" t="s">
        <v>515</v>
      </c>
      <c r="B262" s="95" t="s">
        <v>125</v>
      </c>
      <c r="C262" s="51">
        <v>91792</v>
      </c>
      <c r="D262" s="97" t="s">
        <v>18</v>
      </c>
      <c r="E262" s="46">
        <f>(1)*2</f>
        <v>2</v>
      </c>
      <c r="F262" s="235"/>
      <c r="G262" s="24">
        <f t="shared" si="34"/>
        <v>0</v>
      </c>
      <c r="H262" s="24">
        <f t="shared" si="35"/>
        <v>0</v>
      </c>
      <c r="I262" s="2"/>
      <c r="M262" s="94"/>
      <c r="N262" s="13"/>
    </row>
    <row r="263" spans="1:14" ht="60" x14ac:dyDescent="0.25">
      <c r="A263" s="29" t="s">
        <v>516</v>
      </c>
      <c r="B263" s="95" t="s">
        <v>126</v>
      </c>
      <c r="C263" s="51">
        <v>89708</v>
      </c>
      <c r="D263" s="97" t="s">
        <v>8</v>
      </c>
      <c r="E263" s="46">
        <v>1</v>
      </c>
      <c r="F263" s="235"/>
      <c r="G263" s="24">
        <f t="shared" si="34"/>
        <v>0</v>
      </c>
      <c r="H263" s="24">
        <f t="shared" si="35"/>
        <v>0</v>
      </c>
      <c r="I263" s="2"/>
      <c r="M263" s="94"/>
      <c r="N263" s="13"/>
    </row>
    <row r="264" spans="1:14" ht="90" x14ac:dyDescent="0.25">
      <c r="A264" s="29" t="s">
        <v>517</v>
      </c>
      <c r="B264" s="95" t="s">
        <v>127</v>
      </c>
      <c r="C264" s="51">
        <v>89957</v>
      </c>
      <c r="D264" s="97" t="s">
        <v>8</v>
      </c>
      <c r="E264" s="46">
        <v>2</v>
      </c>
      <c r="F264" s="235"/>
      <c r="G264" s="24">
        <f t="shared" si="34"/>
        <v>0</v>
      </c>
      <c r="H264" s="24">
        <f t="shared" si="35"/>
        <v>0</v>
      </c>
      <c r="I264" s="2"/>
      <c r="M264" s="94"/>
      <c r="N264" s="13"/>
    </row>
    <row r="265" spans="1:14" ht="79.5" customHeight="1" x14ac:dyDescent="0.25">
      <c r="A265" s="29" t="s">
        <v>518</v>
      </c>
      <c r="B265" s="95" t="s">
        <v>128</v>
      </c>
      <c r="C265" s="51">
        <v>91785</v>
      </c>
      <c r="D265" s="97" t="s">
        <v>18</v>
      </c>
      <c r="E265" s="46">
        <f>2*5</f>
        <v>10</v>
      </c>
      <c r="F265" s="235"/>
      <c r="G265" s="24">
        <f t="shared" si="34"/>
        <v>0</v>
      </c>
      <c r="H265" s="24">
        <f t="shared" si="35"/>
        <v>0</v>
      </c>
      <c r="I265" s="2"/>
      <c r="M265" s="94"/>
      <c r="N265" s="13"/>
    </row>
    <row r="266" spans="1:14" ht="60" x14ac:dyDescent="0.25">
      <c r="A266" s="29" t="s">
        <v>519</v>
      </c>
      <c r="B266" s="95" t="s">
        <v>129</v>
      </c>
      <c r="C266" s="51">
        <v>89985</v>
      </c>
      <c r="D266" s="97" t="s">
        <v>8</v>
      </c>
      <c r="E266" s="46">
        <v>1</v>
      </c>
      <c r="F266" s="235"/>
      <c r="G266" s="24">
        <f t="shared" si="34"/>
        <v>0</v>
      </c>
      <c r="H266" s="24">
        <f t="shared" si="35"/>
        <v>0</v>
      </c>
      <c r="I266" s="2"/>
      <c r="M266" s="94"/>
      <c r="N266" s="13"/>
    </row>
    <row r="267" spans="1:14" ht="30" x14ac:dyDescent="0.25">
      <c r="A267" s="29" t="s">
        <v>520</v>
      </c>
      <c r="B267" s="95" t="s">
        <v>90</v>
      </c>
      <c r="C267" s="98">
        <v>99814</v>
      </c>
      <c r="D267" s="97" t="s">
        <v>15</v>
      </c>
      <c r="E267" s="46">
        <f>E235</f>
        <v>17</v>
      </c>
      <c r="F267" s="235"/>
      <c r="G267" s="24">
        <f t="shared" si="34"/>
        <v>0</v>
      </c>
      <c r="H267" s="24">
        <f t="shared" si="35"/>
        <v>0</v>
      </c>
      <c r="I267" s="2"/>
      <c r="M267" s="94"/>
      <c r="N267" s="13"/>
    </row>
    <row r="268" spans="1:14" x14ac:dyDescent="0.25">
      <c r="A268" s="18" t="s">
        <v>521</v>
      </c>
      <c r="B268" s="19" t="s">
        <v>131</v>
      </c>
      <c r="C268" s="26"/>
      <c r="D268" s="27"/>
      <c r="E268" s="28"/>
      <c r="F268" s="28"/>
      <c r="G268" s="28"/>
      <c r="H268" s="8">
        <f>SUM(H269:H304)</f>
        <v>0</v>
      </c>
      <c r="I268" s="2"/>
      <c r="M268" s="94"/>
      <c r="N268" s="13"/>
    </row>
    <row r="269" spans="1:14" ht="60" x14ac:dyDescent="0.25">
      <c r="A269" s="29" t="s">
        <v>522</v>
      </c>
      <c r="B269" s="95" t="s">
        <v>102</v>
      </c>
      <c r="C269" s="51">
        <v>87263</v>
      </c>
      <c r="D269" s="97" t="s">
        <v>15</v>
      </c>
      <c r="E269" s="46">
        <f>ROUND(5.5*3.4+1.3*1.85,2)</f>
        <v>21.11</v>
      </c>
      <c r="F269" s="235"/>
      <c r="G269" s="24">
        <f t="shared" ref="G269:G304" si="36">ROUND(F269*J$1,2)</f>
        <v>0</v>
      </c>
      <c r="H269" s="24">
        <f t="shared" ref="H269:H304" si="37">ROUND(E269*G269,2)</f>
        <v>0</v>
      </c>
      <c r="I269" s="2"/>
      <c r="M269" s="94"/>
      <c r="N269" s="13"/>
    </row>
    <row r="270" spans="1:14" ht="75" x14ac:dyDescent="0.25">
      <c r="A270" s="29" t="s">
        <v>523</v>
      </c>
      <c r="B270" s="95" t="s">
        <v>103</v>
      </c>
      <c r="C270" s="51">
        <v>87735</v>
      </c>
      <c r="D270" s="97" t="s">
        <v>15</v>
      </c>
      <c r="E270" s="46">
        <f>E269</f>
        <v>21.11</v>
      </c>
      <c r="F270" s="235"/>
      <c r="G270" s="24">
        <f t="shared" si="36"/>
        <v>0</v>
      </c>
      <c r="H270" s="24">
        <f t="shared" si="37"/>
        <v>0</v>
      </c>
      <c r="I270" s="2"/>
      <c r="M270" s="94"/>
      <c r="N270" s="13"/>
    </row>
    <row r="271" spans="1:14" ht="45" x14ac:dyDescent="0.25">
      <c r="A271" s="29" t="s">
        <v>524</v>
      </c>
      <c r="B271" s="95" t="s">
        <v>132</v>
      </c>
      <c r="C271" s="51">
        <v>86889</v>
      </c>
      <c r="D271" s="97" t="s">
        <v>18</v>
      </c>
      <c r="E271" s="46">
        <v>3</v>
      </c>
      <c r="F271" s="235"/>
      <c r="G271" s="24">
        <f t="shared" si="36"/>
        <v>0</v>
      </c>
      <c r="H271" s="24">
        <f t="shared" si="37"/>
        <v>0</v>
      </c>
      <c r="I271" s="2"/>
      <c r="M271" s="94"/>
      <c r="N271" s="13"/>
    </row>
    <row r="272" spans="1:14" ht="45" x14ac:dyDescent="0.25">
      <c r="A272" s="29" t="s">
        <v>525</v>
      </c>
      <c r="B272" s="95" t="s">
        <v>133</v>
      </c>
      <c r="C272" s="51">
        <v>86900</v>
      </c>
      <c r="D272" s="97" t="s">
        <v>8</v>
      </c>
      <c r="E272" s="46">
        <v>1</v>
      </c>
      <c r="F272" s="235"/>
      <c r="G272" s="24">
        <f t="shared" si="36"/>
        <v>0</v>
      </c>
      <c r="H272" s="24">
        <f t="shared" si="37"/>
        <v>0</v>
      </c>
      <c r="I272" s="2"/>
      <c r="M272" s="94"/>
      <c r="N272" s="13"/>
    </row>
    <row r="273" spans="1:14" ht="30" x14ac:dyDescent="0.25">
      <c r="A273" s="29" t="s">
        <v>526</v>
      </c>
      <c r="B273" s="95" t="s">
        <v>107</v>
      </c>
      <c r="C273" s="51">
        <v>98685</v>
      </c>
      <c r="D273" s="97" t="s">
        <v>18</v>
      </c>
      <c r="E273" s="46">
        <f>3+0.6</f>
        <v>3.6</v>
      </c>
      <c r="F273" s="235"/>
      <c r="G273" s="24">
        <f t="shared" si="36"/>
        <v>0</v>
      </c>
      <c r="H273" s="24">
        <f t="shared" si="37"/>
        <v>0</v>
      </c>
      <c r="I273" s="2"/>
      <c r="M273" s="94"/>
      <c r="N273" s="13"/>
    </row>
    <row r="274" spans="1:14" ht="60" x14ac:dyDescent="0.25">
      <c r="A274" s="29" t="s">
        <v>527</v>
      </c>
      <c r="B274" s="95" t="s">
        <v>134</v>
      </c>
      <c r="C274" s="51">
        <v>86910</v>
      </c>
      <c r="D274" s="97" t="s">
        <v>8</v>
      </c>
      <c r="E274" s="46">
        <v>1</v>
      </c>
      <c r="F274" s="235"/>
      <c r="G274" s="24">
        <f t="shared" si="36"/>
        <v>0</v>
      </c>
      <c r="H274" s="24">
        <f t="shared" si="37"/>
        <v>0</v>
      </c>
      <c r="I274" s="2"/>
      <c r="M274" s="94"/>
      <c r="N274" s="13"/>
    </row>
    <row r="275" spans="1:14" ht="45" x14ac:dyDescent="0.25">
      <c r="A275" s="29" t="s">
        <v>528</v>
      </c>
      <c r="B275" s="95" t="s">
        <v>135</v>
      </c>
      <c r="C275" s="51">
        <v>86878</v>
      </c>
      <c r="D275" s="97" t="s">
        <v>8</v>
      </c>
      <c r="E275" s="46">
        <v>1</v>
      </c>
      <c r="F275" s="235"/>
      <c r="G275" s="24">
        <f t="shared" si="36"/>
        <v>0</v>
      </c>
      <c r="H275" s="24">
        <f t="shared" si="37"/>
        <v>0</v>
      </c>
      <c r="I275" s="2"/>
      <c r="M275" s="94"/>
      <c r="N275" s="13"/>
    </row>
    <row r="276" spans="1:14" ht="33.75" customHeight="1" x14ac:dyDescent="0.25">
      <c r="A276" s="29" t="s">
        <v>529</v>
      </c>
      <c r="B276" s="95" t="s">
        <v>136</v>
      </c>
      <c r="C276" s="51">
        <v>86882</v>
      </c>
      <c r="D276" s="97" t="s">
        <v>8</v>
      </c>
      <c r="E276" s="46">
        <v>1</v>
      </c>
      <c r="F276" s="235"/>
      <c r="G276" s="24">
        <f t="shared" si="36"/>
        <v>0</v>
      </c>
      <c r="H276" s="24">
        <f t="shared" si="37"/>
        <v>0</v>
      </c>
      <c r="I276" s="2"/>
      <c r="M276" s="94"/>
      <c r="N276" s="13"/>
    </row>
    <row r="277" spans="1:14" ht="30" x14ac:dyDescent="0.25">
      <c r="A277" s="29" t="s">
        <v>530</v>
      </c>
      <c r="B277" s="95" t="s">
        <v>109</v>
      </c>
      <c r="C277" s="51">
        <v>93183</v>
      </c>
      <c r="D277" s="97" t="s">
        <v>18</v>
      </c>
      <c r="E277" s="46">
        <f>2*(2+2*0.15)</f>
        <v>4.5999999999999996</v>
      </c>
      <c r="F277" s="235"/>
      <c r="G277" s="24">
        <f t="shared" si="36"/>
        <v>0</v>
      </c>
      <c r="H277" s="24">
        <f t="shared" si="37"/>
        <v>0</v>
      </c>
      <c r="I277" s="2"/>
      <c r="M277" s="94"/>
      <c r="N277" s="13"/>
    </row>
    <row r="278" spans="1:14" ht="30" x14ac:dyDescent="0.25">
      <c r="A278" s="29" t="s">
        <v>531</v>
      </c>
      <c r="B278" s="95" t="s">
        <v>110</v>
      </c>
      <c r="C278" s="51">
        <v>93195</v>
      </c>
      <c r="D278" s="97" t="s">
        <v>18</v>
      </c>
      <c r="E278" s="46">
        <f>E277</f>
        <v>4.5999999999999996</v>
      </c>
      <c r="F278" s="235"/>
      <c r="G278" s="24">
        <f t="shared" si="36"/>
        <v>0</v>
      </c>
      <c r="H278" s="24">
        <f t="shared" si="37"/>
        <v>0</v>
      </c>
      <c r="I278" s="2"/>
      <c r="M278" s="94"/>
      <c r="N278" s="13"/>
    </row>
    <row r="279" spans="1:14" ht="90" x14ac:dyDescent="0.25">
      <c r="A279" s="29" t="s">
        <v>532</v>
      </c>
      <c r="B279" s="95" t="s">
        <v>111</v>
      </c>
      <c r="C279" s="51" t="s">
        <v>743</v>
      </c>
      <c r="D279" s="97" t="s">
        <v>15</v>
      </c>
      <c r="E279" s="46">
        <f>2*(2*0.6)</f>
        <v>2.4</v>
      </c>
      <c r="F279" s="235"/>
      <c r="G279" s="24">
        <f t="shared" si="36"/>
        <v>0</v>
      </c>
      <c r="H279" s="24">
        <f t="shared" si="37"/>
        <v>0</v>
      </c>
      <c r="I279" s="2"/>
      <c r="M279" s="94"/>
      <c r="N279" s="13"/>
    </row>
    <row r="280" spans="1:14" ht="30" x14ac:dyDescent="0.25">
      <c r="A280" s="29" t="s">
        <v>533</v>
      </c>
      <c r="B280" s="95" t="s">
        <v>112</v>
      </c>
      <c r="C280" s="51">
        <v>93184</v>
      </c>
      <c r="D280" s="97" t="s">
        <v>18</v>
      </c>
      <c r="E280" s="46">
        <f>1*(0.8+2*0.15)</f>
        <v>1.1000000000000001</v>
      </c>
      <c r="F280" s="235"/>
      <c r="G280" s="24">
        <f t="shared" si="36"/>
        <v>0</v>
      </c>
      <c r="H280" s="24">
        <f t="shared" si="37"/>
        <v>0</v>
      </c>
      <c r="I280" s="2"/>
      <c r="M280" s="94"/>
      <c r="N280" s="13"/>
    </row>
    <row r="281" spans="1:14" ht="105" x14ac:dyDescent="0.25">
      <c r="A281" s="29" t="s">
        <v>534</v>
      </c>
      <c r="B281" s="95" t="s">
        <v>113</v>
      </c>
      <c r="C281" s="51">
        <v>90843</v>
      </c>
      <c r="D281" s="97" t="s">
        <v>8</v>
      </c>
      <c r="E281" s="46">
        <v>1</v>
      </c>
      <c r="F281" s="235"/>
      <c r="G281" s="24">
        <f t="shared" si="36"/>
        <v>0</v>
      </c>
      <c r="H281" s="24">
        <f t="shared" si="37"/>
        <v>0</v>
      </c>
      <c r="I281" s="2"/>
      <c r="M281" s="94"/>
      <c r="N281" s="13"/>
    </row>
    <row r="282" spans="1:14" ht="30" x14ac:dyDescent="0.25">
      <c r="A282" s="29" t="s">
        <v>535</v>
      </c>
      <c r="B282" s="83" t="s">
        <v>114</v>
      </c>
      <c r="C282" s="98">
        <v>102193</v>
      </c>
      <c r="D282" s="99" t="s">
        <v>15</v>
      </c>
      <c r="E282" s="85">
        <f>E281*2*(0.8*2.1)</f>
        <v>3.3600000000000003</v>
      </c>
      <c r="F282" s="236"/>
      <c r="G282" s="24">
        <f t="shared" si="36"/>
        <v>0</v>
      </c>
      <c r="H282" s="24">
        <f t="shared" si="37"/>
        <v>0</v>
      </c>
      <c r="I282" s="2"/>
      <c r="M282" s="94"/>
      <c r="N282" s="13"/>
    </row>
    <row r="283" spans="1:14" ht="30" x14ac:dyDescent="0.25">
      <c r="A283" s="29" t="s">
        <v>536</v>
      </c>
      <c r="B283" s="83" t="s">
        <v>115</v>
      </c>
      <c r="C283" s="98">
        <v>102197</v>
      </c>
      <c r="D283" s="99" t="s">
        <v>15</v>
      </c>
      <c r="E283" s="85">
        <f>E282</f>
        <v>3.3600000000000003</v>
      </c>
      <c r="F283" s="236"/>
      <c r="G283" s="24">
        <f t="shared" si="36"/>
        <v>0</v>
      </c>
      <c r="H283" s="24">
        <f t="shared" si="37"/>
        <v>0</v>
      </c>
      <c r="I283" s="2"/>
      <c r="M283" s="94"/>
      <c r="N283" s="13"/>
    </row>
    <row r="284" spans="1:14" ht="45" x14ac:dyDescent="0.25">
      <c r="A284" s="29" t="s">
        <v>537</v>
      </c>
      <c r="B284" s="95" t="s">
        <v>116</v>
      </c>
      <c r="C284" s="51">
        <v>102219</v>
      </c>
      <c r="D284" s="97" t="s">
        <v>15</v>
      </c>
      <c r="E284" s="46">
        <f>E281*2*(0.8*2.1)</f>
        <v>3.3600000000000003</v>
      </c>
      <c r="F284" s="235"/>
      <c r="G284" s="24">
        <f t="shared" si="36"/>
        <v>0</v>
      </c>
      <c r="H284" s="24">
        <f t="shared" si="37"/>
        <v>0</v>
      </c>
      <c r="I284" s="2"/>
      <c r="M284" s="94"/>
      <c r="N284" s="13"/>
    </row>
    <row r="285" spans="1:14" ht="60" x14ac:dyDescent="0.25">
      <c r="A285" s="29" t="s">
        <v>538</v>
      </c>
      <c r="B285" s="95" t="s">
        <v>117</v>
      </c>
      <c r="C285" s="51">
        <v>87878</v>
      </c>
      <c r="D285" s="97" t="s">
        <v>15</v>
      </c>
      <c r="E285" s="46">
        <f>E286+E295</f>
        <v>57.11999999999999</v>
      </c>
      <c r="F285" s="235"/>
      <c r="G285" s="24">
        <f t="shared" si="36"/>
        <v>0</v>
      </c>
      <c r="H285" s="24">
        <f t="shared" si="37"/>
        <v>0</v>
      </c>
      <c r="I285" s="2"/>
      <c r="M285" s="94"/>
      <c r="N285" s="13"/>
    </row>
    <row r="286" spans="1:14" ht="90" x14ac:dyDescent="0.25">
      <c r="A286" s="29" t="s">
        <v>539</v>
      </c>
      <c r="B286" s="95" t="s">
        <v>118</v>
      </c>
      <c r="C286" s="51">
        <v>87529</v>
      </c>
      <c r="D286" s="97" t="s">
        <v>15</v>
      </c>
      <c r="E286" s="46">
        <f>(3.4+6.8+1.85+1.3+1.55+5.5)*3-(E279+E281*0.8*2.1+E295)</f>
        <v>52.529999999999994</v>
      </c>
      <c r="F286" s="235"/>
      <c r="G286" s="24">
        <f t="shared" si="36"/>
        <v>0</v>
      </c>
      <c r="H286" s="24">
        <f t="shared" si="37"/>
        <v>0</v>
      </c>
      <c r="I286" s="2"/>
      <c r="M286" s="94"/>
      <c r="N286" s="13"/>
    </row>
    <row r="287" spans="1:14" ht="30" x14ac:dyDescent="0.25">
      <c r="A287" s="29" t="s">
        <v>540</v>
      </c>
      <c r="B287" s="95" t="s">
        <v>119</v>
      </c>
      <c r="C287" s="51">
        <v>88485</v>
      </c>
      <c r="D287" s="97" t="s">
        <v>15</v>
      </c>
      <c r="E287" s="46">
        <f>E286</f>
        <v>52.529999999999994</v>
      </c>
      <c r="F287" s="235"/>
      <c r="G287" s="24">
        <f t="shared" si="36"/>
        <v>0</v>
      </c>
      <c r="H287" s="24">
        <f t="shared" si="37"/>
        <v>0</v>
      </c>
      <c r="I287" s="2"/>
      <c r="M287" s="94"/>
      <c r="N287" s="13"/>
    </row>
    <row r="288" spans="1:14" ht="32.25" customHeight="1" x14ac:dyDescent="0.25">
      <c r="A288" s="29" t="s">
        <v>541</v>
      </c>
      <c r="B288" s="95" t="s">
        <v>120</v>
      </c>
      <c r="C288" s="51">
        <v>88489</v>
      </c>
      <c r="D288" s="97" t="s">
        <v>15</v>
      </c>
      <c r="E288" s="46">
        <f>E286</f>
        <v>52.529999999999994</v>
      </c>
      <c r="F288" s="235"/>
      <c r="G288" s="24">
        <f t="shared" si="36"/>
        <v>0</v>
      </c>
      <c r="H288" s="24">
        <f t="shared" si="37"/>
        <v>0</v>
      </c>
      <c r="I288" s="2"/>
      <c r="M288" s="94"/>
      <c r="N288" s="13"/>
    </row>
    <row r="289" spans="1:14" ht="62.25" customHeight="1" x14ac:dyDescent="0.25">
      <c r="A289" s="29" t="s">
        <v>542</v>
      </c>
      <c r="B289" s="83" t="s">
        <v>51</v>
      </c>
      <c r="C289" s="98">
        <v>87882</v>
      </c>
      <c r="D289" s="99" t="s">
        <v>15</v>
      </c>
      <c r="E289" s="46">
        <f>E269</f>
        <v>21.11</v>
      </c>
      <c r="F289" s="236"/>
      <c r="G289" s="24">
        <f t="shared" si="36"/>
        <v>0</v>
      </c>
      <c r="H289" s="24">
        <f t="shared" si="37"/>
        <v>0</v>
      </c>
      <c r="I289" s="2"/>
      <c r="M289" s="94"/>
      <c r="N289" s="13"/>
    </row>
    <row r="290" spans="1:14" ht="60" x14ac:dyDescent="0.25">
      <c r="A290" s="29" t="s">
        <v>543</v>
      </c>
      <c r="B290" s="83" t="s">
        <v>52</v>
      </c>
      <c r="C290" s="98">
        <v>87411</v>
      </c>
      <c r="D290" s="99" t="s">
        <v>15</v>
      </c>
      <c r="E290" s="46">
        <f>E289</f>
        <v>21.11</v>
      </c>
      <c r="F290" s="236"/>
      <c r="G290" s="24">
        <f t="shared" si="36"/>
        <v>0</v>
      </c>
      <c r="H290" s="24">
        <f t="shared" si="37"/>
        <v>0</v>
      </c>
      <c r="I290" s="2"/>
      <c r="M290" s="94"/>
      <c r="N290" s="13"/>
    </row>
    <row r="291" spans="1:14" ht="30" x14ac:dyDescent="0.25">
      <c r="A291" s="29" t="s">
        <v>544</v>
      </c>
      <c r="B291" s="95" t="s">
        <v>53</v>
      </c>
      <c r="C291" s="51">
        <v>88484</v>
      </c>
      <c r="D291" s="97" t="s">
        <v>15</v>
      </c>
      <c r="E291" s="46">
        <f>E289</f>
        <v>21.11</v>
      </c>
      <c r="F291" s="235"/>
      <c r="G291" s="24">
        <f t="shared" si="36"/>
        <v>0</v>
      </c>
      <c r="H291" s="24">
        <f t="shared" si="37"/>
        <v>0</v>
      </c>
      <c r="I291" s="2"/>
      <c r="M291" s="94"/>
      <c r="N291" s="13"/>
    </row>
    <row r="292" spans="1:14" ht="33" customHeight="1" x14ac:dyDescent="0.25">
      <c r="A292" s="29" t="s">
        <v>545</v>
      </c>
      <c r="B292" s="95" t="s">
        <v>745</v>
      </c>
      <c r="C292" s="51">
        <v>88488</v>
      </c>
      <c r="D292" s="97" t="s">
        <v>15</v>
      </c>
      <c r="E292" s="46">
        <f>E289</f>
        <v>21.11</v>
      </c>
      <c r="F292" s="236"/>
      <c r="G292" s="24">
        <f t="shared" si="36"/>
        <v>0</v>
      </c>
      <c r="H292" s="24">
        <f t="shared" si="37"/>
        <v>0</v>
      </c>
      <c r="I292" s="2"/>
      <c r="M292" s="94"/>
      <c r="N292" s="13"/>
    </row>
    <row r="293" spans="1:14" ht="30" x14ac:dyDescent="0.25">
      <c r="A293" s="29" t="s">
        <v>546</v>
      </c>
      <c r="B293" s="95" t="s">
        <v>121</v>
      </c>
      <c r="C293" s="51">
        <v>98689</v>
      </c>
      <c r="D293" s="97" t="s">
        <v>18</v>
      </c>
      <c r="E293" s="46">
        <v>0.8</v>
      </c>
      <c r="F293" s="235"/>
      <c r="G293" s="24">
        <f t="shared" si="36"/>
        <v>0</v>
      </c>
      <c r="H293" s="24">
        <f t="shared" si="37"/>
        <v>0</v>
      </c>
      <c r="I293" s="2"/>
      <c r="M293" s="94"/>
      <c r="N293" s="13"/>
    </row>
    <row r="294" spans="1:14" ht="60" x14ac:dyDescent="0.25">
      <c r="A294" s="29" t="s">
        <v>547</v>
      </c>
      <c r="B294" s="95" t="s">
        <v>122</v>
      </c>
      <c r="C294" s="51">
        <v>101965</v>
      </c>
      <c r="D294" s="97" t="s">
        <v>18</v>
      </c>
      <c r="E294" s="46">
        <f>2*2.05</f>
        <v>4.0999999999999996</v>
      </c>
      <c r="F294" s="235"/>
      <c r="G294" s="24">
        <f t="shared" si="36"/>
        <v>0</v>
      </c>
      <c r="H294" s="24">
        <f t="shared" si="37"/>
        <v>0</v>
      </c>
      <c r="I294" s="2"/>
      <c r="M294" s="94"/>
      <c r="N294" s="13"/>
    </row>
    <row r="295" spans="1:14" ht="75" x14ac:dyDescent="0.25">
      <c r="A295" s="29" t="s">
        <v>548</v>
      </c>
      <c r="B295" s="95" t="s">
        <v>137</v>
      </c>
      <c r="C295" s="51">
        <v>87265</v>
      </c>
      <c r="D295" s="97" t="s">
        <v>15</v>
      </c>
      <c r="E295" s="46">
        <f>(3+0.6)*0.8+(0.95*1.8)</f>
        <v>4.59</v>
      </c>
      <c r="F295" s="235"/>
      <c r="G295" s="24">
        <f t="shared" si="36"/>
        <v>0</v>
      </c>
      <c r="H295" s="24">
        <f t="shared" si="37"/>
        <v>0</v>
      </c>
      <c r="I295" s="2"/>
      <c r="M295" s="94"/>
      <c r="N295" s="13"/>
    </row>
    <row r="296" spans="1:14" ht="105" x14ac:dyDescent="0.25">
      <c r="A296" s="29" t="s">
        <v>549</v>
      </c>
      <c r="B296" s="83" t="s">
        <v>138</v>
      </c>
      <c r="C296" s="98">
        <v>87535</v>
      </c>
      <c r="D296" s="99" t="s">
        <v>15</v>
      </c>
      <c r="E296" s="85">
        <f>E295</f>
        <v>4.59</v>
      </c>
      <c r="F296" s="236"/>
      <c r="G296" s="24">
        <f t="shared" si="36"/>
        <v>0</v>
      </c>
      <c r="H296" s="24">
        <f t="shared" si="37"/>
        <v>0</v>
      </c>
      <c r="I296" s="2"/>
      <c r="M296" s="94"/>
      <c r="N296" s="13"/>
    </row>
    <row r="297" spans="1:14" ht="45" x14ac:dyDescent="0.25">
      <c r="A297" s="29" t="s">
        <v>550</v>
      </c>
      <c r="B297" s="95" t="s">
        <v>123</v>
      </c>
      <c r="C297" s="51">
        <v>88650</v>
      </c>
      <c r="D297" s="97" t="s">
        <v>18</v>
      </c>
      <c r="E297" s="85">
        <f>(3.4+5.5+1.55+1.3+1.85+6.8)-0.8</f>
        <v>19.600000000000001</v>
      </c>
      <c r="F297" s="235"/>
      <c r="G297" s="24">
        <f t="shared" si="36"/>
        <v>0</v>
      </c>
      <c r="H297" s="24">
        <f t="shared" si="37"/>
        <v>0</v>
      </c>
      <c r="I297" s="2"/>
      <c r="M297" s="94"/>
      <c r="N297" s="13"/>
    </row>
    <row r="298" spans="1:14" ht="60" x14ac:dyDescent="0.25">
      <c r="A298" s="29" t="s">
        <v>551</v>
      </c>
      <c r="B298" s="95" t="s">
        <v>54</v>
      </c>
      <c r="C298" s="51">
        <v>97583</v>
      </c>
      <c r="D298" s="97" t="s">
        <v>8</v>
      </c>
      <c r="E298" s="46">
        <v>2</v>
      </c>
      <c r="F298" s="235"/>
      <c r="G298" s="24">
        <f t="shared" si="36"/>
        <v>0</v>
      </c>
      <c r="H298" s="24">
        <f t="shared" si="37"/>
        <v>0</v>
      </c>
      <c r="I298" s="2"/>
      <c r="M298" s="94"/>
      <c r="N298" s="13"/>
    </row>
    <row r="299" spans="1:14" ht="90" x14ac:dyDescent="0.25">
      <c r="A299" s="29" t="s">
        <v>552</v>
      </c>
      <c r="B299" s="95" t="s">
        <v>125</v>
      </c>
      <c r="C299" s="51">
        <v>91792</v>
      </c>
      <c r="D299" s="97" t="s">
        <v>18</v>
      </c>
      <c r="E299" s="46">
        <f>(1)*6</f>
        <v>6</v>
      </c>
      <c r="F299" s="235"/>
      <c r="G299" s="24">
        <f t="shared" si="36"/>
        <v>0</v>
      </c>
      <c r="H299" s="24">
        <f t="shared" si="37"/>
        <v>0</v>
      </c>
      <c r="I299" s="2"/>
      <c r="M299" s="94"/>
      <c r="N299" s="13"/>
    </row>
    <row r="300" spans="1:14" ht="60" x14ac:dyDescent="0.25">
      <c r="A300" s="29" t="s">
        <v>553</v>
      </c>
      <c r="B300" s="95" t="s">
        <v>126</v>
      </c>
      <c r="C300" s="51">
        <v>89708</v>
      </c>
      <c r="D300" s="97" t="s">
        <v>8</v>
      </c>
      <c r="E300" s="46">
        <v>1</v>
      </c>
      <c r="F300" s="235"/>
      <c r="G300" s="24">
        <f t="shared" si="36"/>
        <v>0</v>
      </c>
      <c r="H300" s="24">
        <f t="shared" si="37"/>
        <v>0</v>
      </c>
      <c r="I300" s="2"/>
      <c r="M300" s="94"/>
      <c r="N300" s="13"/>
    </row>
    <row r="301" spans="1:14" ht="75" x14ac:dyDescent="0.25">
      <c r="A301" s="29" t="s">
        <v>554</v>
      </c>
      <c r="B301" s="95" t="s">
        <v>139</v>
      </c>
      <c r="C301" s="51">
        <v>89957</v>
      </c>
      <c r="D301" s="97" t="s">
        <v>8</v>
      </c>
      <c r="E301" s="46">
        <v>1</v>
      </c>
      <c r="F301" s="235"/>
      <c r="G301" s="24">
        <f t="shared" si="36"/>
        <v>0</v>
      </c>
      <c r="H301" s="24">
        <f t="shared" si="37"/>
        <v>0</v>
      </c>
      <c r="I301" s="2"/>
      <c r="M301" s="94"/>
      <c r="N301" s="13"/>
    </row>
    <row r="302" spans="1:14" ht="77.25" customHeight="1" x14ac:dyDescent="0.25">
      <c r="A302" s="29" t="s">
        <v>555</v>
      </c>
      <c r="B302" s="95" t="s">
        <v>128</v>
      </c>
      <c r="C302" s="51">
        <v>91785</v>
      </c>
      <c r="D302" s="97" t="s">
        <v>18</v>
      </c>
      <c r="E302" s="46">
        <f>1*5</f>
        <v>5</v>
      </c>
      <c r="F302" s="235"/>
      <c r="G302" s="24">
        <f t="shared" si="36"/>
        <v>0</v>
      </c>
      <c r="H302" s="24">
        <f t="shared" si="37"/>
        <v>0</v>
      </c>
      <c r="I302" s="2"/>
      <c r="M302" s="94"/>
      <c r="N302" s="13"/>
    </row>
    <row r="303" spans="1:14" ht="60" x14ac:dyDescent="0.25">
      <c r="A303" s="29" t="s">
        <v>556</v>
      </c>
      <c r="B303" s="95" t="s">
        <v>129</v>
      </c>
      <c r="C303" s="51">
        <v>89985</v>
      </c>
      <c r="D303" s="97" t="s">
        <v>8</v>
      </c>
      <c r="E303" s="46">
        <v>1</v>
      </c>
      <c r="F303" s="235"/>
      <c r="G303" s="24">
        <f t="shared" si="36"/>
        <v>0</v>
      </c>
      <c r="H303" s="24">
        <f t="shared" si="37"/>
        <v>0</v>
      </c>
      <c r="I303" s="2"/>
      <c r="M303" s="94"/>
      <c r="N303" s="13"/>
    </row>
    <row r="304" spans="1:14" ht="30" x14ac:dyDescent="0.25">
      <c r="A304" s="29" t="s">
        <v>557</v>
      </c>
      <c r="B304" s="95" t="s">
        <v>90</v>
      </c>
      <c r="C304" s="98">
        <v>99814</v>
      </c>
      <c r="D304" s="97" t="s">
        <v>15</v>
      </c>
      <c r="E304" s="46">
        <f>E269</f>
        <v>21.11</v>
      </c>
      <c r="F304" s="235"/>
      <c r="G304" s="24">
        <f t="shared" si="36"/>
        <v>0</v>
      </c>
      <c r="H304" s="24">
        <f t="shared" si="37"/>
        <v>0</v>
      </c>
      <c r="I304" s="2"/>
      <c r="M304" s="94"/>
      <c r="N304" s="13"/>
    </row>
    <row r="305" spans="1:14" ht="30" x14ac:dyDescent="0.25">
      <c r="A305" s="18" t="s">
        <v>558</v>
      </c>
      <c r="B305" s="19" t="s">
        <v>141</v>
      </c>
      <c r="C305" s="26"/>
      <c r="D305" s="37"/>
      <c r="E305" s="28"/>
      <c r="F305" s="28"/>
      <c r="G305" s="28"/>
      <c r="H305" s="8">
        <f>SUM(H306:H356)</f>
        <v>0</v>
      </c>
      <c r="I305" s="2"/>
      <c r="M305" s="94"/>
      <c r="N305" s="13"/>
    </row>
    <row r="306" spans="1:14" ht="60" x14ac:dyDescent="0.25">
      <c r="A306" s="29" t="s">
        <v>559</v>
      </c>
      <c r="B306" s="95" t="s">
        <v>142</v>
      </c>
      <c r="C306" s="51">
        <v>87262</v>
      </c>
      <c r="D306" s="97" t="s">
        <v>15</v>
      </c>
      <c r="E306" s="46">
        <f>2*1.6+1.4*2.9</f>
        <v>7.26</v>
      </c>
      <c r="F306" s="235"/>
      <c r="G306" s="24">
        <f t="shared" ref="G306:G337" si="38">ROUND(F306*J$1,2)</f>
        <v>0</v>
      </c>
      <c r="H306" s="24">
        <f t="shared" ref="H306:H356" si="39">ROUND(E306*G306,2)</f>
        <v>0</v>
      </c>
      <c r="I306" s="2"/>
      <c r="M306" s="94"/>
      <c r="N306" s="13"/>
    </row>
    <row r="307" spans="1:14" ht="75" x14ac:dyDescent="0.25">
      <c r="A307" s="29" t="s">
        <v>560</v>
      </c>
      <c r="B307" s="95" t="s">
        <v>103</v>
      </c>
      <c r="C307" s="51">
        <v>87735</v>
      </c>
      <c r="D307" s="97" t="s">
        <v>15</v>
      </c>
      <c r="E307" s="46">
        <f>E306</f>
        <v>7.26</v>
      </c>
      <c r="F307" s="235"/>
      <c r="G307" s="24">
        <f t="shared" si="38"/>
        <v>0</v>
      </c>
      <c r="H307" s="24">
        <f t="shared" si="39"/>
        <v>0</v>
      </c>
      <c r="I307" s="2"/>
      <c r="M307" s="94"/>
      <c r="N307" s="13"/>
    </row>
    <row r="308" spans="1:14" ht="45" x14ac:dyDescent="0.25">
      <c r="A308" s="29" t="s">
        <v>561</v>
      </c>
      <c r="B308" s="95" t="s">
        <v>143</v>
      </c>
      <c r="C308" s="51">
        <v>86888</v>
      </c>
      <c r="D308" s="97" t="s">
        <v>8</v>
      </c>
      <c r="E308" s="46">
        <v>1</v>
      </c>
      <c r="F308" s="235"/>
      <c r="G308" s="24">
        <f t="shared" si="38"/>
        <v>0</v>
      </c>
      <c r="H308" s="24">
        <f t="shared" si="39"/>
        <v>0</v>
      </c>
      <c r="I308" s="2"/>
      <c r="M308" s="94"/>
      <c r="N308" s="13"/>
    </row>
    <row r="309" spans="1:14" ht="30" x14ac:dyDescent="0.25">
      <c r="A309" s="29" t="s">
        <v>562</v>
      </c>
      <c r="B309" s="95" t="s">
        <v>144</v>
      </c>
      <c r="C309" s="51">
        <v>100849</v>
      </c>
      <c r="D309" s="97" t="s">
        <v>8</v>
      </c>
      <c r="E309" s="46">
        <v>1</v>
      </c>
      <c r="F309" s="235"/>
      <c r="G309" s="24">
        <f t="shared" si="38"/>
        <v>0</v>
      </c>
      <c r="H309" s="24">
        <f t="shared" si="39"/>
        <v>0</v>
      </c>
      <c r="I309" s="2"/>
      <c r="M309" s="94"/>
      <c r="N309" s="13"/>
    </row>
    <row r="310" spans="1:14" ht="45" x14ac:dyDescent="0.25">
      <c r="A310" s="29" t="s">
        <v>563</v>
      </c>
      <c r="B310" s="95" t="s">
        <v>145</v>
      </c>
      <c r="C310" s="51">
        <v>100860</v>
      </c>
      <c r="D310" s="97" t="s">
        <v>8</v>
      </c>
      <c r="E310" s="46">
        <v>1</v>
      </c>
      <c r="F310" s="235"/>
      <c r="G310" s="24">
        <f t="shared" si="38"/>
        <v>0</v>
      </c>
      <c r="H310" s="24">
        <f t="shared" si="39"/>
        <v>0</v>
      </c>
      <c r="I310" s="2"/>
      <c r="M310" s="94"/>
      <c r="N310" s="13"/>
    </row>
    <row r="311" spans="1:14" ht="30" x14ac:dyDescent="0.25">
      <c r="A311" s="29" t="s">
        <v>564</v>
      </c>
      <c r="B311" s="95" t="s">
        <v>146</v>
      </c>
      <c r="C311" s="51">
        <v>100857</v>
      </c>
      <c r="D311" s="97" t="s">
        <v>8</v>
      </c>
      <c r="E311" s="46">
        <v>1</v>
      </c>
      <c r="F311" s="235"/>
      <c r="G311" s="24">
        <f t="shared" si="38"/>
        <v>0</v>
      </c>
      <c r="H311" s="24">
        <f t="shared" si="39"/>
        <v>0</v>
      </c>
      <c r="I311" s="2"/>
      <c r="M311" s="94"/>
      <c r="N311" s="13"/>
    </row>
    <row r="312" spans="1:14" ht="45" x14ac:dyDescent="0.25">
      <c r="A312" s="29" t="s">
        <v>565</v>
      </c>
      <c r="B312" s="95" t="s">
        <v>147</v>
      </c>
      <c r="C312" s="51">
        <v>86901</v>
      </c>
      <c r="D312" s="97" t="s">
        <v>8</v>
      </c>
      <c r="E312" s="46">
        <v>1</v>
      </c>
      <c r="F312" s="235"/>
      <c r="G312" s="24">
        <f t="shared" si="38"/>
        <v>0</v>
      </c>
      <c r="H312" s="24">
        <f t="shared" si="39"/>
        <v>0</v>
      </c>
      <c r="I312" s="2"/>
      <c r="M312" s="94"/>
      <c r="N312" s="13"/>
    </row>
    <row r="313" spans="1:14" ht="45" x14ac:dyDescent="0.25">
      <c r="A313" s="29" t="s">
        <v>566</v>
      </c>
      <c r="B313" s="95" t="s">
        <v>148</v>
      </c>
      <c r="C313" s="51">
        <v>86895</v>
      </c>
      <c r="D313" s="97" t="s">
        <v>18</v>
      </c>
      <c r="E313" s="46">
        <v>1.24</v>
      </c>
      <c r="F313" s="235"/>
      <c r="G313" s="24">
        <f t="shared" si="38"/>
        <v>0</v>
      </c>
      <c r="H313" s="24">
        <f t="shared" si="39"/>
        <v>0</v>
      </c>
      <c r="I313" s="2"/>
      <c r="M313" s="94"/>
      <c r="N313" s="13"/>
    </row>
    <row r="314" spans="1:14" ht="30" x14ac:dyDescent="0.25">
      <c r="A314" s="29" t="s">
        <v>567</v>
      </c>
      <c r="B314" s="95" t="s">
        <v>107</v>
      </c>
      <c r="C314" s="51">
        <v>98685</v>
      </c>
      <c r="D314" s="97" t="s">
        <v>18</v>
      </c>
      <c r="E314" s="46">
        <f>E313</f>
        <v>1.24</v>
      </c>
      <c r="F314" s="235"/>
      <c r="G314" s="24">
        <f t="shared" si="38"/>
        <v>0</v>
      </c>
      <c r="H314" s="24">
        <f t="shared" si="39"/>
        <v>0</v>
      </c>
      <c r="I314" s="2"/>
      <c r="M314" s="94"/>
      <c r="N314" s="13"/>
    </row>
    <row r="315" spans="1:14" ht="30" x14ac:dyDescent="0.25">
      <c r="A315" s="29" t="s">
        <v>568</v>
      </c>
      <c r="B315" s="95" t="s">
        <v>149</v>
      </c>
      <c r="C315" s="51" t="s">
        <v>775</v>
      </c>
      <c r="D315" s="97" t="s">
        <v>18</v>
      </c>
      <c r="E315" s="46">
        <f>E313</f>
        <v>1.24</v>
      </c>
      <c r="F315" s="235"/>
      <c r="G315" s="24">
        <f t="shared" si="38"/>
        <v>0</v>
      </c>
      <c r="H315" s="24">
        <f t="shared" si="39"/>
        <v>0</v>
      </c>
      <c r="I315" s="2"/>
      <c r="M315" s="94"/>
      <c r="N315" s="13"/>
    </row>
    <row r="316" spans="1:14" ht="48" customHeight="1" x14ac:dyDescent="0.25">
      <c r="A316" s="29" t="s">
        <v>569</v>
      </c>
      <c r="B316" s="95" t="s">
        <v>150</v>
      </c>
      <c r="C316" s="51">
        <v>86877</v>
      </c>
      <c r="D316" s="97" t="s">
        <v>8</v>
      </c>
      <c r="E316" s="46">
        <v>1</v>
      </c>
      <c r="F316" s="235"/>
      <c r="G316" s="24">
        <f t="shared" si="38"/>
        <v>0</v>
      </c>
      <c r="H316" s="24">
        <f t="shared" si="39"/>
        <v>0</v>
      </c>
      <c r="I316" s="2"/>
      <c r="M316" s="94"/>
      <c r="N316" s="13"/>
    </row>
    <row r="317" spans="1:14" ht="45" x14ac:dyDescent="0.25">
      <c r="A317" s="29" t="s">
        <v>570</v>
      </c>
      <c r="B317" s="95" t="s">
        <v>151</v>
      </c>
      <c r="C317" s="51">
        <v>86881</v>
      </c>
      <c r="D317" s="97" t="s">
        <v>8</v>
      </c>
      <c r="E317" s="46">
        <v>1</v>
      </c>
      <c r="F317" s="235"/>
      <c r="G317" s="24">
        <f t="shared" si="38"/>
        <v>0</v>
      </c>
      <c r="H317" s="24">
        <f t="shared" si="39"/>
        <v>0</v>
      </c>
      <c r="I317" s="2"/>
      <c r="M317" s="94"/>
      <c r="N317" s="13"/>
    </row>
    <row r="318" spans="1:14" ht="30" x14ac:dyDescent="0.25">
      <c r="A318" s="29" t="s">
        <v>571</v>
      </c>
      <c r="B318" s="95" t="s">
        <v>152</v>
      </c>
      <c r="C318" s="51">
        <v>86886</v>
      </c>
      <c r="D318" s="97" t="s">
        <v>8</v>
      </c>
      <c r="E318" s="46">
        <v>1</v>
      </c>
      <c r="F318" s="235"/>
      <c r="G318" s="24">
        <f t="shared" si="38"/>
        <v>0</v>
      </c>
      <c r="H318" s="24">
        <f t="shared" si="39"/>
        <v>0</v>
      </c>
      <c r="I318" s="2"/>
      <c r="M318" s="94"/>
      <c r="N318" s="13"/>
    </row>
    <row r="319" spans="1:14" ht="45" x14ac:dyDescent="0.25">
      <c r="A319" s="29" t="s">
        <v>572</v>
      </c>
      <c r="B319" s="95" t="s">
        <v>153</v>
      </c>
      <c r="C319" s="51">
        <v>86915</v>
      </c>
      <c r="D319" s="97" t="s">
        <v>8</v>
      </c>
      <c r="E319" s="46">
        <v>1</v>
      </c>
      <c r="F319" s="235"/>
      <c r="G319" s="24">
        <f t="shared" si="38"/>
        <v>0</v>
      </c>
      <c r="H319" s="24">
        <f t="shared" si="39"/>
        <v>0</v>
      </c>
      <c r="I319" s="2"/>
      <c r="M319" s="94"/>
      <c r="N319" s="13"/>
    </row>
    <row r="320" spans="1:14" ht="60" x14ac:dyDescent="0.25">
      <c r="A320" s="29" t="s">
        <v>573</v>
      </c>
      <c r="B320" s="95" t="s">
        <v>154</v>
      </c>
      <c r="C320" s="51">
        <v>102253</v>
      </c>
      <c r="D320" s="97" t="s">
        <v>15</v>
      </c>
      <c r="E320" s="46">
        <f>ROUND(((2*1.4+0.83)-2*(0.6))*1.75,2)</f>
        <v>4.25</v>
      </c>
      <c r="F320" s="235"/>
      <c r="G320" s="24">
        <f t="shared" si="38"/>
        <v>0</v>
      </c>
      <c r="H320" s="24">
        <f t="shared" si="39"/>
        <v>0</v>
      </c>
      <c r="I320" s="2"/>
      <c r="J320" s="32"/>
      <c r="M320" s="94"/>
      <c r="N320" s="13"/>
    </row>
    <row r="321" spans="1:14" ht="47.25" customHeight="1" x14ac:dyDescent="0.25">
      <c r="A321" s="29" t="s">
        <v>574</v>
      </c>
      <c r="B321" s="95" t="s">
        <v>155</v>
      </c>
      <c r="C321" s="51">
        <v>91341</v>
      </c>
      <c r="D321" s="97" t="s">
        <v>15</v>
      </c>
      <c r="E321" s="46">
        <f>2*(0.6*1.6)</f>
        <v>1.92</v>
      </c>
      <c r="F321" s="235"/>
      <c r="G321" s="24">
        <f t="shared" si="38"/>
        <v>0</v>
      </c>
      <c r="H321" s="24">
        <f t="shared" si="39"/>
        <v>0</v>
      </c>
      <c r="I321" s="2"/>
      <c r="M321" s="94"/>
      <c r="N321" s="13"/>
    </row>
    <row r="322" spans="1:14" ht="30" x14ac:dyDescent="0.25">
      <c r="A322" s="29" t="s">
        <v>575</v>
      </c>
      <c r="B322" s="95" t="s">
        <v>156</v>
      </c>
      <c r="C322" s="51">
        <v>100705</v>
      </c>
      <c r="D322" s="97" t="s">
        <v>8</v>
      </c>
      <c r="E322" s="46">
        <v>2</v>
      </c>
      <c r="F322" s="235"/>
      <c r="G322" s="24">
        <f t="shared" si="38"/>
        <v>0</v>
      </c>
      <c r="H322" s="24">
        <f t="shared" si="39"/>
        <v>0</v>
      </c>
      <c r="I322" s="2"/>
      <c r="M322" s="94"/>
      <c r="N322" s="13"/>
    </row>
    <row r="323" spans="1:14" ht="30" x14ac:dyDescent="0.25">
      <c r="A323" s="29" t="s">
        <v>576</v>
      </c>
      <c r="B323" s="95" t="s">
        <v>157</v>
      </c>
      <c r="C323" s="51" t="s">
        <v>158</v>
      </c>
      <c r="D323" s="97" t="s">
        <v>18</v>
      </c>
      <c r="E323" s="46">
        <f>0.8</f>
        <v>0.8</v>
      </c>
      <c r="F323" s="235"/>
      <c r="G323" s="24">
        <f t="shared" si="38"/>
        <v>0</v>
      </c>
      <c r="H323" s="24">
        <f t="shared" si="39"/>
        <v>0</v>
      </c>
      <c r="I323" s="2"/>
      <c r="M323" s="94"/>
      <c r="N323" s="13"/>
    </row>
    <row r="324" spans="1:14" ht="30" x14ac:dyDescent="0.25">
      <c r="A324" s="29" t="s">
        <v>577</v>
      </c>
      <c r="B324" s="95" t="s">
        <v>159</v>
      </c>
      <c r="C324" s="51">
        <v>93182</v>
      </c>
      <c r="D324" s="97" t="s">
        <v>18</v>
      </c>
      <c r="E324" s="46">
        <f>1*(1.5+2*0.15)</f>
        <v>1.8</v>
      </c>
      <c r="F324" s="235"/>
      <c r="G324" s="24">
        <f t="shared" si="38"/>
        <v>0</v>
      </c>
      <c r="H324" s="24">
        <f t="shared" si="39"/>
        <v>0</v>
      </c>
      <c r="I324" s="2"/>
      <c r="M324" s="94"/>
      <c r="N324" s="13"/>
    </row>
    <row r="325" spans="1:14" ht="45" x14ac:dyDescent="0.25">
      <c r="A325" s="29" t="s">
        <v>578</v>
      </c>
      <c r="B325" s="95" t="s">
        <v>160</v>
      </c>
      <c r="C325" s="51">
        <v>93196</v>
      </c>
      <c r="D325" s="97" t="s">
        <v>18</v>
      </c>
      <c r="E325" s="46">
        <f>E324</f>
        <v>1.8</v>
      </c>
      <c r="F325" s="235"/>
      <c r="G325" s="24">
        <f t="shared" si="38"/>
        <v>0</v>
      </c>
      <c r="H325" s="24">
        <f t="shared" si="39"/>
        <v>0</v>
      </c>
      <c r="I325" s="2"/>
      <c r="M325" s="94"/>
      <c r="N325" s="13"/>
    </row>
    <row r="326" spans="1:14" ht="90" x14ac:dyDescent="0.25">
      <c r="A326" s="29" t="s">
        <v>579</v>
      </c>
      <c r="B326" s="95" t="s">
        <v>111</v>
      </c>
      <c r="C326" s="51" t="s">
        <v>743</v>
      </c>
      <c r="D326" s="97" t="s">
        <v>15</v>
      </c>
      <c r="E326" s="46">
        <f>1*(1.5*0.6)</f>
        <v>0.89999999999999991</v>
      </c>
      <c r="F326" s="235"/>
      <c r="G326" s="24">
        <f t="shared" si="38"/>
        <v>0</v>
      </c>
      <c r="H326" s="24">
        <f t="shared" si="39"/>
        <v>0</v>
      </c>
      <c r="I326" s="2"/>
      <c r="M326" s="94"/>
      <c r="N326" s="13"/>
    </row>
    <row r="327" spans="1:14" ht="30" x14ac:dyDescent="0.25">
      <c r="A327" s="29" t="s">
        <v>580</v>
      </c>
      <c r="B327" s="95" t="s">
        <v>112</v>
      </c>
      <c r="C327" s="51">
        <v>93184</v>
      </c>
      <c r="D327" s="97" t="s">
        <v>18</v>
      </c>
      <c r="E327" s="46">
        <f>1*(0.8+2*0.15)</f>
        <v>1.1000000000000001</v>
      </c>
      <c r="F327" s="235"/>
      <c r="G327" s="24">
        <f t="shared" si="38"/>
        <v>0</v>
      </c>
      <c r="H327" s="24">
        <f t="shared" si="39"/>
        <v>0</v>
      </c>
      <c r="I327" s="2"/>
      <c r="M327" s="94"/>
      <c r="N327" s="13"/>
    </row>
    <row r="328" spans="1:14" ht="105" x14ac:dyDescent="0.25">
      <c r="A328" s="29" t="s">
        <v>581</v>
      </c>
      <c r="B328" s="95" t="s">
        <v>113</v>
      </c>
      <c r="C328" s="51">
        <v>90843</v>
      </c>
      <c r="D328" s="97" t="s">
        <v>8</v>
      </c>
      <c r="E328" s="46">
        <v>1</v>
      </c>
      <c r="F328" s="235"/>
      <c r="G328" s="24">
        <f t="shared" si="38"/>
        <v>0</v>
      </c>
      <c r="H328" s="24">
        <f t="shared" si="39"/>
        <v>0</v>
      </c>
      <c r="I328" s="2"/>
      <c r="M328" s="94"/>
      <c r="N328" s="13"/>
    </row>
    <row r="329" spans="1:14" ht="30" x14ac:dyDescent="0.25">
      <c r="A329" s="29" t="s">
        <v>582</v>
      </c>
      <c r="B329" s="83" t="s">
        <v>114</v>
      </c>
      <c r="C329" s="98">
        <v>102193</v>
      </c>
      <c r="D329" s="99" t="s">
        <v>15</v>
      </c>
      <c r="E329" s="85">
        <f>E328*2*(0.8*2.1)</f>
        <v>3.3600000000000003</v>
      </c>
      <c r="F329" s="236"/>
      <c r="G329" s="24">
        <f t="shared" si="38"/>
        <v>0</v>
      </c>
      <c r="H329" s="24">
        <f t="shared" si="39"/>
        <v>0</v>
      </c>
      <c r="I329" s="2"/>
      <c r="M329" s="94"/>
      <c r="N329" s="13"/>
    </row>
    <row r="330" spans="1:14" ht="30" x14ac:dyDescent="0.25">
      <c r="A330" s="29" t="s">
        <v>583</v>
      </c>
      <c r="B330" s="83" t="s">
        <v>115</v>
      </c>
      <c r="C330" s="98">
        <v>102197</v>
      </c>
      <c r="D330" s="99" t="s">
        <v>15</v>
      </c>
      <c r="E330" s="85">
        <f>E329</f>
        <v>3.3600000000000003</v>
      </c>
      <c r="F330" s="236"/>
      <c r="G330" s="24">
        <f t="shared" si="38"/>
        <v>0</v>
      </c>
      <c r="H330" s="24">
        <f t="shared" si="39"/>
        <v>0</v>
      </c>
      <c r="I330" s="2"/>
      <c r="M330" s="94"/>
      <c r="N330" s="13"/>
    </row>
    <row r="331" spans="1:14" ht="45" x14ac:dyDescent="0.25">
      <c r="A331" s="29" t="s">
        <v>584</v>
      </c>
      <c r="B331" s="95" t="s">
        <v>116</v>
      </c>
      <c r="C331" s="51">
        <v>102219</v>
      </c>
      <c r="D331" s="97" t="s">
        <v>15</v>
      </c>
      <c r="E331" s="46">
        <f>E328*2*(0.8*2.1)</f>
        <v>3.3600000000000003</v>
      </c>
      <c r="F331" s="235"/>
      <c r="G331" s="24">
        <f t="shared" si="38"/>
        <v>0</v>
      </c>
      <c r="H331" s="24">
        <f t="shared" si="39"/>
        <v>0</v>
      </c>
      <c r="I331" s="2"/>
      <c r="M331" s="94"/>
      <c r="N331" s="13"/>
    </row>
    <row r="332" spans="1:14" ht="60" x14ac:dyDescent="0.25">
      <c r="A332" s="29" t="s">
        <v>585</v>
      </c>
      <c r="B332" s="95" t="s">
        <v>117</v>
      </c>
      <c r="C332" s="51">
        <v>87878</v>
      </c>
      <c r="D332" s="97" t="s">
        <v>15</v>
      </c>
      <c r="E332" s="46">
        <f>E333</f>
        <v>35.22</v>
      </c>
      <c r="F332" s="235"/>
      <c r="G332" s="24">
        <f t="shared" si="38"/>
        <v>0</v>
      </c>
      <c r="H332" s="24">
        <f t="shared" si="39"/>
        <v>0</v>
      </c>
      <c r="I332" s="2"/>
      <c r="M332" s="94"/>
      <c r="N332" s="13"/>
    </row>
    <row r="333" spans="1:14" ht="105" x14ac:dyDescent="0.25">
      <c r="A333" s="29" t="s">
        <v>586</v>
      </c>
      <c r="B333" s="95" t="s">
        <v>161</v>
      </c>
      <c r="C333" s="51">
        <v>87531</v>
      </c>
      <c r="D333" s="97" t="s">
        <v>15</v>
      </c>
      <c r="E333" s="46">
        <f>(1.3+1.4+2.9+3.4+1.6+2)*3-(E326+E328*(0.8*2.1))</f>
        <v>35.22</v>
      </c>
      <c r="F333" s="235"/>
      <c r="G333" s="24">
        <f t="shared" si="38"/>
        <v>0</v>
      </c>
      <c r="H333" s="24">
        <f t="shared" si="39"/>
        <v>0</v>
      </c>
      <c r="I333" s="2"/>
      <c r="M333" s="94"/>
      <c r="N333" s="13"/>
    </row>
    <row r="334" spans="1:14" ht="75" x14ac:dyDescent="0.25">
      <c r="A334" s="29" t="s">
        <v>587</v>
      </c>
      <c r="B334" s="95" t="s">
        <v>137</v>
      </c>
      <c r="C334" s="51">
        <v>87265</v>
      </c>
      <c r="D334" s="97" t="s">
        <v>15</v>
      </c>
      <c r="E334" s="46">
        <f>E333</f>
        <v>35.22</v>
      </c>
      <c r="F334" s="235"/>
      <c r="G334" s="24">
        <f t="shared" si="38"/>
        <v>0</v>
      </c>
      <c r="H334" s="24">
        <f t="shared" si="39"/>
        <v>0</v>
      </c>
      <c r="I334" s="2"/>
      <c r="M334" s="94"/>
      <c r="N334" s="13"/>
    </row>
    <row r="335" spans="1:14" ht="64.5" customHeight="1" x14ac:dyDescent="0.25">
      <c r="A335" s="29" t="s">
        <v>588</v>
      </c>
      <c r="B335" s="83" t="s">
        <v>51</v>
      </c>
      <c r="C335" s="98">
        <v>87882</v>
      </c>
      <c r="D335" s="99" t="s">
        <v>15</v>
      </c>
      <c r="E335" s="46">
        <f>E306</f>
        <v>7.26</v>
      </c>
      <c r="F335" s="236"/>
      <c r="G335" s="24">
        <f t="shared" si="38"/>
        <v>0</v>
      </c>
      <c r="H335" s="24">
        <f t="shared" si="39"/>
        <v>0</v>
      </c>
      <c r="I335" s="2"/>
      <c r="M335" s="94"/>
      <c r="N335" s="13"/>
    </row>
    <row r="336" spans="1:14" ht="60" x14ac:dyDescent="0.25">
      <c r="A336" s="29" t="s">
        <v>589</v>
      </c>
      <c r="B336" s="83" t="s">
        <v>52</v>
      </c>
      <c r="C336" s="98">
        <v>87411</v>
      </c>
      <c r="D336" s="99" t="s">
        <v>15</v>
      </c>
      <c r="E336" s="46">
        <f>E306</f>
        <v>7.26</v>
      </c>
      <c r="F336" s="236"/>
      <c r="G336" s="24">
        <f t="shared" si="38"/>
        <v>0</v>
      </c>
      <c r="H336" s="24">
        <f t="shared" si="39"/>
        <v>0</v>
      </c>
      <c r="I336" s="2"/>
      <c r="M336" s="94"/>
      <c r="N336" s="13"/>
    </row>
    <row r="337" spans="1:14" ht="30" x14ac:dyDescent="0.25">
      <c r="A337" s="29" t="s">
        <v>590</v>
      </c>
      <c r="B337" s="95" t="s">
        <v>53</v>
      </c>
      <c r="C337" s="51">
        <v>88484</v>
      </c>
      <c r="D337" s="97" t="s">
        <v>15</v>
      </c>
      <c r="E337" s="46">
        <f>E336</f>
        <v>7.26</v>
      </c>
      <c r="F337" s="235"/>
      <c r="G337" s="24">
        <f t="shared" si="38"/>
        <v>0</v>
      </c>
      <c r="H337" s="24">
        <f t="shared" si="39"/>
        <v>0</v>
      </c>
      <c r="I337" s="2"/>
      <c r="M337" s="94"/>
      <c r="N337" s="13"/>
    </row>
    <row r="338" spans="1:14" ht="33.75" customHeight="1" x14ac:dyDescent="0.25">
      <c r="A338" s="29" t="s">
        <v>591</v>
      </c>
      <c r="B338" s="95" t="s">
        <v>745</v>
      </c>
      <c r="C338" s="51">
        <v>88488</v>
      </c>
      <c r="D338" s="97" t="s">
        <v>15</v>
      </c>
      <c r="E338" s="46">
        <f>E336</f>
        <v>7.26</v>
      </c>
      <c r="F338" s="236"/>
      <c r="G338" s="24">
        <f t="shared" ref="G338:G369" si="40">ROUND(F338*J$1,2)</f>
        <v>0</v>
      </c>
      <c r="H338" s="24">
        <f t="shared" si="39"/>
        <v>0</v>
      </c>
      <c r="I338" s="2"/>
      <c r="M338" s="94"/>
      <c r="N338" s="13"/>
    </row>
    <row r="339" spans="1:14" ht="30" x14ac:dyDescent="0.25">
      <c r="A339" s="29" t="s">
        <v>592</v>
      </c>
      <c r="B339" s="95" t="s">
        <v>121</v>
      </c>
      <c r="C339" s="51">
        <v>98689</v>
      </c>
      <c r="D339" s="97" t="s">
        <v>18</v>
      </c>
      <c r="E339" s="46">
        <v>0.8</v>
      </c>
      <c r="F339" s="235"/>
      <c r="G339" s="24">
        <f t="shared" si="40"/>
        <v>0</v>
      </c>
      <c r="H339" s="24">
        <f t="shared" si="39"/>
        <v>0</v>
      </c>
      <c r="I339" s="2"/>
      <c r="M339" s="94"/>
      <c r="N339" s="13"/>
    </row>
    <row r="340" spans="1:14" ht="60" x14ac:dyDescent="0.25">
      <c r="A340" s="29" t="s">
        <v>593</v>
      </c>
      <c r="B340" s="95" t="s">
        <v>122</v>
      </c>
      <c r="C340" s="51">
        <v>101965</v>
      </c>
      <c r="D340" s="97" t="s">
        <v>18</v>
      </c>
      <c r="E340" s="46">
        <v>1.55</v>
      </c>
      <c r="F340" s="235"/>
      <c r="G340" s="24">
        <f t="shared" si="40"/>
        <v>0</v>
      </c>
      <c r="H340" s="24">
        <f t="shared" si="39"/>
        <v>0</v>
      </c>
      <c r="I340" s="2"/>
      <c r="M340" s="94"/>
      <c r="N340" s="13"/>
    </row>
    <row r="341" spans="1:14" ht="30" x14ac:dyDescent="0.25">
      <c r="A341" s="29" t="s">
        <v>594</v>
      </c>
      <c r="B341" s="95" t="s">
        <v>162</v>
      </c>
      <c r="C341" s="51" t="s">
        <v>744</v>
      </c>
      <c r="D341" s="97" t="s">
        <v>8</v>
      </c>
      <c r="E341" s="46">
        <v>3</v>
      </c>
      <c r="F341" s="235"/>
      <c r="G341" s="24">
        <f t="shared" si="40"/>
        <v>0</v>
      </c>
      <c r="H341" s="24">
        <f t="shared" si="39"/>
        <v>0</v>
      </c>
      <c r="I341" s="2"/>
      <c r="M341" s="94"/>
      <c r="N341" s="13"/>
    </row>
    <row r="342" spans="1:14" ht="60" x14ac:dyDescent="0.25">
      <c r="A342" s="29" t="s">
        <v>595</v>
      </c>
      <c r="B342" s="95" t="s">
        <v>54</v>
      </c>
      <c r="C342" s="51">
        <v>97583</v>
      </c>
      <c r="D342" s="97" t="s">
        <v>8</v>
      </c>
      <c r="E342" s="46">
        <v>2</v>
      </c>
      <c r="F342" s="235"/>
      <c r="G342" s="24">
        <f t="shared" si="40"/>
        <v>0</v>
      </c>
      <c r="H342" s="24">
        <f t="shared" si="39"/>
        <v>0</v>
      </c>
      <c r="I342" s="2"/>
      <c r="M342" s="94"/>
      <c r="N342" s="13"/>
    </row>
    <row r="343" spans="1:14" ht="90" x14ac:dyDescent="0.25">
      <c r="A343" s="29" t="s">
        <v>596</v>
      </c>
      <c r="B343" s="95" t="s">
        <v>163</v>
      </c>
      <c r="C343" s="51">
        <v>91795</v>
      </c>
      <c r="D343" s="97" t="s">
        <v>18</v>
      </c>
      <c r="E343" s="46">
        <f>1*6</f>
        <v>6</v>
      </c>
      <c r="F343" s="235"/>
      <c r="G343" s="24">
        <f t="shared" si="40"/>
        <v>0</v>
      </c>
      <c r="H343" s="24">
        <f t="shared" si="39"/>
        <v>0</v>
      </c>
      <c r="I343" s="2"/>
      <c r="M343" s="94"/>
      <c r="N343" s="13"/>
    </row>
    <row r="344" spans="1:14" ht="90" x14ac:dyDescent="0.25">
      <c r="A344" s="29" t="s">
        <v>597</v>
      </c>
      <c r="B344" s="95" t="s">
        <v>164</v>
      </c>
      <c r="C344" s="51">
        <v>91793</v>
      </c>
      <c r="D344" s="97" t="s">
        <v>18</v>
      </c>
      <c r="E344" s="46">
        <f>1*6</f>
        <v>6</v>
      </c>
      <c r="F344" s="235"/>
      <c r="G344" s="24">
        <f t="shared" si="40"/>
        <v>0</v>
      </c>
      <c r="H344" s="24">
        <f t="shared" si="39"/>
        <v>0</v>
      </c>
      <c r="I344" s="2"/>
      <c r="M344" s="94"/>
      <c r="N344" s="13"/>
    </row>
    <row r="345" spans="1:14" ht="90" x14ac:dyDescent="0.25">
      <c r="A345" s="29" t="s">
        <v>598</v>
      </c>
      <c r="B345" s="95" t="s">
        <v>125</v>
      </c>
      <c r="C345" s="51">
        <v>91792</v>
      </c>
      <c r="D345" s="97" t="s">
        <v>18</v>
      </c>
      <c r="E345" s="46">
        <f>(1)*6</f>
        <v>6</v>
      </c>
      <c r="F345" s="235"/>
      <c r="G345" s="24">
        <f t="shared" si="40"/>
        <v>0</v>
      </c>
      <c r="H345" s="24">
        <f t="shared" si="39"/>
        <v>0</v>
      </c>
      <c r="I345" s="2"/>
      <c r="M345" s="94"/>
      <c r="N345" s="13"/>
    </row>
    <row r="346" spans="1:14" ht="60" x14ac:dyDescent="0.25">
      <c r="A346" s="29" t="s">
        <v>599</v>
      </c>
      <c r="B346" s="95" t="s">
        <v>126</v>
      </c>
      <c r="C346" s="51">
        <v>89708</v>
      </c>
      <c r="D346" s="97" t="s">
        <v>8</v>
      </c>
      <c r="E346" s="46">
        <v>1</v>
      </c>
      <c r="F346" s="235"/>
      <c r="G346" s="24">
        <f t="shared" si="40"/>
        <v>0</v>
      </c>
      <c r="H346" s="24">
        <f t="shared" si="39"/>
        <v>0</v>
      </c>
      <c r="I346" s="2"/>
      <c r="M346" s="94"/>
      <c r="N346" s="13"/>
    </row>
    <row r="347" spans="1:14" ht="75" x14ac:dyDescent="0.25">
      <c r="A347" s="29" t="s">
        <v>600</v>
      </c>
      <c r="B347" s="95" t="s">
        <v>139</v>
      </c>
      <c r="C347" s="51">
        <v>89957</v>
      </c>
      <c r="D347" s="97" t="s">
        <v>8</v>
      </c>
      <c r="E347" s="46">
        <v>3</v>
      </c>
      <c r="F347" s="235"/>
      <c r="G347" s="24">
        <f t="shared" si="40"/>
        <v>0</v>
      </c>
      <c r="H347" s="24">
        <f t="shared" si="39"/>
        <v>0</v>
      </c>
      <c r="I347" s="2"/>
      <c r="M347" s="94"/>
      <c r="N347" s="13"/>
    </row>
    <row r="348" spans="1:14" ht="90" x14ac:dyDescent="0.25">
      <c r="A348" s="29" t="s">
        <v>601</v>
      </c>
      <c r="B348" s="95" t="s">
        <v>128</v>
      </c>
      <c r="C348" s="51">
        <v>91785</v>
      </c>
      <c r="D348" s="97" t="s">
        <v>18</v>
      </c>
      <c r="E348" s="46">
        <f>1*10</f>
        <v>10</v>
      </c>
      <c r="F348" s="235"/>
      <c r="G348" s="24">
        <f t="shared" si="40"/>
        <v>0</v>
      </c>
      <c r="H348" s="24">
        <f t="shared" si="39"/>
        <v>0</v>
      </c>
      <c r="I348" s="2"/>
      <c r="M348" s="94"/>
      <c r="N348" s="13"/>
    </row>
    <row r="349" spans="1:14" ht="60" x14ac:dyDescent="0.25">
      <c r="A349" s="29" t="s">
        <v>602</v>
      </c>
      <c r="B349" s="95" t="s">
        <v>129</v>
      </c>
      <c r="C349" s="51">
        <v>89985</v>
      </c>
      <c r="D349" s="97" t="s">
        <v>8</v>
      </c>
      <c r="E349" s="46">
        <v>1</v>
      </c>
      <c r="F349" s="235"/>
      <c r="G349" s="24">
        <f t="shared" si="40"/>
        <v>0</v>
      </c>
      <c r="H349" s="24">
        <f t="shared" si="39"/>
        <v>0</v>
      </c>
      <c r="I349" s="2"/>
      <c r="M349" s="94"/>
      <c r="N349" s="13"/>
    </row>
    <row r="350" spans="1:14" x14ac:dyDescent="0.25">
      <c r="A350" s="29" t="s">
        <v>603</v>
      </c>
      <c r="B350" s="95" t="s">
        <v>165</v>
      </c>
      <c r="C350" s="51" t="s">
        <v>166</v>
      </c>
      <c r="D350" s="97" t="s">
        <v>15</v>
      </c>
      <c r="E350" s="46">
        <f>0.7*0.4</f>
        <v>0.27999999999999997</v>
      </c>
      <c r="F350" s="235"/>
      <c r="G350" s="24">
        <f t="shared" si="40"/>
        <v>0</v>
      </c>
      <c r="H350" s="24">
        <f t="shared" si="39"/>
        <v>0</v>
      </c>
      <c r="I350" s="2"/>
      <c r="M350" s="94"/>
      <c r="N350" s="13"/>
    </row>
    <row r="351" spans="1:14" ht="30" x14ac:dyDescent="0.25">
      <c r="A351" s="29" t="s">
        <v>604</v>
      </c>
      <c r="B351" s="95" t="s">
        <v>167</v>
      </c>
      <c r="C351" s="51">
        <v>95542</v>
      </c>
      <c r="D351" s="97" t="s">
        <v>8</v>
      </c>
      <c r="E351" s="46">
        <v>1</v>
      </c>
      <c r="F351" s="235"/>
      <c r="G351" s="24">
        <f t="shared" si="40"/>
        <v>0</v>
      </c>
      <c r="H351" s="24">
        <f t="shared" si="39"/>
        <v>0</v>
      </c>
      <c r="I351" s="2"/>
      <c r="M351" s="94"/>
      <c r="N351" s="13"/>
    </row>
    <row r="352" spans="1:14" ht="30" x14ac:dyDescent="0.25">
      <c r="A352" s="29" t="s">
        <v>605</v>
      </c>
      <c r="B352" s="95" t="s">
        <v>168</v>
      </c>
      <c r="C352" s="51">
        <v>95543</v>
      </c>
      <c r="D352" s="97" t="s">
        <v>8</v>
      </c>
      <c r="E352" s="46">
        <v>1</v>
      </c>
      <c r="F352" s="235"/>
      <c r="G352" s="24">
        <f t="shared" si="40"/>
        <v>0</v>
      </c>
      <c r="H352" s="24">
        <f t="shared" si="39"/>
        <v>0</v>
      </c>
      <c r="I352" s="2"/>
      <c r="M352" s="94"/>
      <c r="N352" s="13"/>
    </row>
    <row r="353" spans="1:14" ht="60" x14ac:dyDescent="0.25">
      <c r="A353" s="29" t="s">
        <v>606</v>
      </c>
      <c r="B353" s="95" t="s">
        <v>169</v>
      </c>
      <c r="C353" s="96" t="s">
        <v>170</v>
      </c>
      <c r="D353" s="97" t="s">
        <v>8</v>
      </c>
      <c r="E353" s="46">
        <v>1</v>
      </c>
      <c r="F353" s="235"/>
      <c r="G353" s="24">
        <f t="shared" si="40"/>
        <v>0</v>
      </c>
      <c r="H353" s="24">
        <f t="shared" si="39"/>
        <v>0</v>
      </c>
      <c r="I353" s="2"/>
      <c r="M353" s="94"/>
      <c r="N353" s="13"/>
    </row>
    <row r="354" spans="1:14" ht="49.5" customHeight="1" x14ac:dyDescent="0.25">
      <c r="A354" s="29" t="s">
        <v>607</v>
      </c>
      <c r="B354" s="95" t="s">
        <v>171</v>
      </c>
      <c r="C354" s="51">
        <v>95547</v>
      </c>
      <c r="D354" s="97" t="s">
        <v>8</v>
      </c>
      <c r="E354" s="46">
        <v>1</v>
      </c>
      <c r="F354" s="235"/>
      <c r="G354" s="24">
        <f t="shared" si="40"/>
        <v>0</v>
      </c>
      <c r="H354" s="24">
        <f t="shared" si="39"/>
        <v>0</v>
      </c>
      <c r="I354" s="2"/>
      <c r="M354" s="94"/>
      <c r="N354" s="13"/>
    </row>
    <row r="355" spans="1:14" ht="30" x14ac:dyDescent="0.25">
      <c r="A355" s="29" t="s">
        <v>608</v>
      </c>
      <c r="B355" s="95" t="s">
        <v>172</v>
      </c>
      <c r="C355" s="51">
        <v>95545</v>
      </c>
      <c r="D355" s="97" t="s">
        <v>8</v>
      </c>
      <c r="E355" s="46">
        <v>1</v>
      </c>
      <c r="F355" s="235"/>
      <c r="G355" s="24">
        <f t="shared" si="40"/>
        <v>0</v>
      </c>
      <c r="H355" s="24">
        <f t="shared" si="39"/>
        <v>0</v>
      </c>
      <c r="I355" s="2"/>
      <c r="M355" s="94"/>
      <c r="N355" s="13"/>
    </row>
    <row r="356" spans="1:14" ht="30" x14ac:dyDescent="0.25">
      <c r="A356" s="29" t="s">
        <v>609</v>
      </c>
      <c r="B356" s="95" t="s">
        <v>90</v>
      </c>
      <c r="C356" s="98">
        <v>99814</v>
      </c>
      <c r="D356" s="97" t="s">
        <v>15</v>
      </c>
      <c r="E356" s="46">
        <f>E306</f>
        <v>7.26</v>
      </c>
      <c r="F356" s="235"/>
      <c r="G356" s="24">
        <f t="shared" si="40"/>
        <v>0</v>
      </c>
      <c r="H356" s="24">
        <f t="shared" si="39"/>
        <v>0</v>
      </c>
      <c r="I356" s="2"/>
      <c r="M356" s="94"/>
      <c r="N356" s="13"/>
    </row>
    <row r="357" spans="1:14" ht="45" x14ac:dyDescent="0.25">
      <c r="A357" s="18" t="s">
        <v>610</v>
      </c>
      <c r="B357" s="19" t="s">
        <v>174</v>
      </c>
      <c r="C357" s="26"/>
      <c r="D357" s="37"/>
      <c r="E357" s="28"/>
      <c r="F357" s="28"/>
      <c r="G357" s="28"/>
      <c r="H357" s="8">
        <f>SUM(H358:H382)</f>
        <v>0</v>
      </c>
      <c r="I357" s="2"/>
      <c r="M357" s="94"/>
      <c r="N357" s="13"/>
    </row>
    <row r="358" spans="1:14" ht="60" x14ac:dyDescent="0.25">
      <c r="A358" s="29" t="s">
        <v>611</v>
      </c>
      <c r="B358" s="95" t="s">
        <v>102</v>
      </c>
      <c r="C358" s="51">
        <v>87263</v>
      </c>
      <c r="D358" s="97" t="s">
        <v>15</v>
      </c>
      <c r="E358" s="46">
        <f>3.4*3.6</f>
        <v>12.24</v>
      </c>
      <c r="F358" s="235"/>
      <c r="G358" s="24">
        <f t="shared" ref="G358:G382" si="41">ROUND(F358*J$1,2)</f>
        <v>0</v>
      </c>
      <c r="H358" s="24">
        <f t="shared" ref="H358:H382" si="42">ROUND(E358*G358,2)</f>
        <v>0</v>
      </c>
      <c r="I358" s="2"/>
      <c r="M358" s="94"/>
      <c r="N358" s="13"/>
    </row>
    <row r="359" spans="1:14" ht="75" x14ac:dyDescent="0.25">
      <c r="A359" s="29" t="s">
        <v>612</v>
      </c>
      <c r="B359" s="95" t="s">
        <v>103</v>
      </c>
      <c r="C359" s="51">
        <v>87735</v>
      </c>
      <c r="D359" s="97" t="s">
        <v>15</v>
      </c>
      <c r="E359" s="46">
        <f>E358</f>
        <v>12.24</v>
      </c>
      <c r="F359" s="235"/>
      <c r="G359" s="24">
        <f t="shared" si="41"/>
        <v>0</v>
      </c>
      <c r="H359" s="24">
        <f t="shared" si="42"/>
        <v>0</v>
      </c>
      <c r="I359" s="2"/>
      <c r="M359" s="94"/>
      <c r="N359" s="13"/>
    </row>
    <row r="360" spans="1:14" ht="30" x14ac:dyDescent="0.25">
      <c r="A360" s="29" t="s">
        <v>613</v>
      </c>
      <c r="B360" s="95" t="s">
        <v>175</v>
      </c>
      <c r="C360" s="51" t="s">
        <v>158</v>
      </c>
      <c r="D360" s="97" t="s">
        <v>18</v>
      </c>
      <c r="E360" s="46">
        <v>3.6</v>
      </c>
      <c r="F360" s="235"/>
      <c r="G360" s="24">
        <f t="shared" si="41"/>
        <v>0</v>
      </c>
      <c r="H360" s="24">
        <f t="shared" si="42"/>
        <v>0</v>
      </c>
      <c r="I360" s="2"/>
      <c r="M360" s="94"/>
      <c r="N360" s="13"/>
    </row>
    <row r="361" spans="1:14" ht="30" x14ac:dyDescent="0.25">
      <c r="A361" s="29" t="s">
        <v>614</v>
      </c>
      <c r="B361" s="95" t="s">
        <v>159</v>
      </c>
      <c r="C361" s="51">
        <v>93182</v>
      </c>
      <c r="D361" s="97" t="s">
        <v>18</v>
      </c>
      <c r="E361" s="46">
        <f>1*(2+2*0.15)</f>
        <v>2.2999999999999998</v>
      </c>
      <c r="F361" s="235"/>
      <c r="G361" s="24">
        <f t="shared" si="41"/>
        <v>0</v>
      </c>
      <c r="H361" s="24">
        <f t="shared" si="42"/>
        <v>0</v>
      </c>
      <c r="I361" s="2"/>
      <c r="M361" s="94"/>
      <c r="N361" s="13"/>
    </row>
    <row r="362" spans="1:14" ht="45" x14ac:dyDescent="0.25">
      <c r="A362" s="29" t="s">
        <v>615</v>
      </c>
      <c r="B362" s="95" t="s">
        <v>160</v>
      </c>
      <c r="C362" s="51">
        <v>93196</v>
      </c>
      <c r="D362" s="97" t="s">
        <v>18</v>
      </c>
      <c r="E362" s="46">
        <f>E361</f>
        <v>2.2999999999999998</v>
      </c>
      <c r="F362" s="235"/>
      <c r="G362" s="24">
        <f t="shared" si="41"/>
        <v>0</v>
      </c>
      <c r="H362" s="24">
        <f t="shared" si="42"/>
        <v>0</v>
      </c>
      <c r="I362" s="2"/>
      <c r="M362" s="94"/>
      <c r="N362" s="13"/>
    </row>
    <row r="363" spans="1:14" ht="90" x14ac:dyDescent="0.25">
      <c r="A363" s="29" t="s">
        <v>616</v>
      </c>
      <c r="B363" s="95" t="s">
        <v>111</v>
      </c>
      <c r="C363" s="51" t="s">
        <v>743</v>
      </c>
      <c r="D363" s="97" t="s">
        <v>15</v>
      </c>
      <c r="E363" s="46">
        <f>1*(2*0.6)</f>
        <v>1.2</v>
      </c>
      <c r="F363" s="235"/>
      <c r="G363" s="24">
        <f t="shared" si="41"/>
        <v>0</v>
      </c>
      <c r="H363" s="24">
        <f t="shared" si="42"/>
        <v>0</v>
      </c>
      <c r="I363" s="2"/>
      <c r="M363" s="94"/>
      <c r="N363" s="13"/>
    </row>
    <row r="364" spans="1:14" ht="30" x14ac:dyDescent="0.25">
      <c r="A364" s="29" t="s">
        <v>617</v>
      </c>
      <c r="B364" s="95" t="s">
        <v>112</v>
      </c>
      <c r="C364" s="51">
        <v>93184</v>
      </c>
      <c r="D364" s="97" t="s">
        <v>18</v>
      </c>
      <c r="E364" s="46">
        <f>1*(2+2*0.15)</f>
        <v>2.2999999999999998</v>
      </c>
      <c r="F364" s="235"/>
      <c r="G364" s="24">
        <f t="shared" si="41"/>
        <v>0</v>
      </c>
      <c r="H364" s="24">
        <f t="shared" si="42"/>
        <v>0</v>
      </c>
      <c r="I364" s="2"/>
      <c r="M364" s="94"/>
      <c r="N364" s="13"/>
    </row>
    <row r="365" spans="1:14" ht="105" x14ac:dyDescent="0.25">
      <c r="A365" s="29" t="s">
        <v>618</v>
      </c>
      <c r="B365" s="95" t="s">
        <v>113</v>
      </c>
      <c r="C365" s="51">
        <v>90843</v>
      </c>
      <c r="D365" s="97" t="s">
        <v>8</v>
      </c>
      <c r="E365" s="46">
        <v>1</v>
      </c>
      <c r="F365" s="235"/>
      <c r="G365" s="24">
        <f t="shared" si="41"/>
        <v>0</v>
      </c>
      <c r="H365" s="24">
        <f t="shared" si="42"/>
        <v>0</v>
      </c>
      <c r="I365" s="2"/>
      <c r="M365" s="94"/>
      <c r="N365" s="13"/>
    </row>
    <row r="366" spans="1:14" ht="30" x14ac:dyDescent="0.25">
      <c r="A366" s="29" t="s">
        <v>619</v>
      </c>
      <c r="B366" s="83" t="s">
        <v>114</v>
      </c>
      <c r="C366" s="98">
        <v>102193</v>
      </c>
      <c r="D366" s="99" t="s">
        <v>15</v>
      </c>
      <c r="E366" s="85">
        <f>E365*2*(0.8*2.1)</f>
        <v>3.3600000000000003</v>
      </c>
      <c r="F366" s="236"/>
      <c r="G366" s="24">
        <f t="shared" si="41"/>
        <v>0</v>
      </c>
      <c r="H366" s="24">
        <f t="shared" si="42"/>
        <v>0</v>
      </c>
      <c r="I366" s="2"/>
      <c r="M366" s="94"/>
      <c r="N366" s="13"/>
    </row>
    <row r="367" spans="1:14" ht="30" x14ac:dyDescent="0.25">
      <c r="A367" s="29" t="s">
        <v>620</v>
      </c>
      <c r="B367" s="83" t="s">
        <v>115</v>
      </c>
      <c r="C367" s="98">
        <v>102197</v>
      </c>
      <c r="D367" s="99" t="s">
        <v>15</v>
      </c>
      <c r="E367" s="85">
        <f>E366</f>
        <v>3.3600000000000003</v>
      </c>
      <c r="F367" s="236"/>
      <c r="G367" s="24">
        <f t="shared" si="41"/>
        <v>0</v>
      </c>
      <c r="H367" s="24">
        <f t="shared" si="42"/>
        <v>0</v>
      </c>
      <c r="I367" s="2"/>
      <c r="M367" s="94"/>
      <c r="N367" s="13"/>
    </row>
    <row r="368" spans="1:14" ht="45" x14ac:dyDescent="0.25">
      <c r="A368" s="29" t="s">
        <v>621</v>
      </c>
      <c r="B368" s="95" t="s">
        <v>116</v>
      </c>
      <c r="C368" s="51">
        <v>102219</v>
      </c>
      <c r="D368" s="97" t="s">
        <v>15</v>
      </c>
      <c r="E368" s="46">
        <f>E365*2*(0.8*2.1)</f>
        <v>3.3600000000000003</v>
      </c>
      <c r="F368" s="235"/>
      <c r="G368" s="24">
        <f t="shared" si="41"/>
        <v>0</v>
      </c>
      <c r="H368" s="24">
        <f t="shared" si="42"/>
        <v>0</v>
      </c>
      <c r="I368" s="2"/>
      <c r="M368" s="94"/>
      <c r="N368" s="13"/>
    </row>
    <row r="369" spans="1:14" ht="60" x14ac:dyDescent="0.25">
      <c r="A369" s="29" t="s">
        <v>622</v>
      </c>
      <c r="B369" s="95" t="s">
        <v>117</v>
      </c>
      <c r="C369" s="51">
        <v>87878</v>
      </c>
      <c r="D369" s="97" t="s">
        <v>15</v>
      </c>
      <c r="E369" s="46">
        <f>2*(3.4+3.6)*3-(E363+E365*0.8*2.1)</f>
        <v>39.119999999999997</v>
      </c>
      <c r="F369" s="235"/>
      <c r="G369" s="24">
        <f t="shared" si="41"/>
        <v>0</v>
      </c>
      <c r="H369" s="24">
        <f t="shared" si="42"/>
        <v>0</v>
      </c>
      <c r="I369" s="2"/>
      <c r="M369" s="94"/>
      <c r="N369" s="13"/>
    </row>
    <row r="370" spans="1:14" ht="90" x14ac:dyDescent="0.25">
      <c r="A370" s="29" t="s">
        <v>623</v>
      </c>
      <c r="B370" s="95" t="s">
        <v>118</v>
      </c>
      <c r="C370" s="51">
        <v>87529</v>
      </c>
      <c r="D370" s="97" t="s">
        <v>15</v>
      </c>
      <c r="E370" s="46">
        <f>E369</f>
        <v>39.119999999999997</v>
      </c>
      <c r="F370" s="235"/>
      <c r="G370" s="24">
        <f t="shared" si="41"/>
        <v>0</v>
      </c>
      <c r="H370" s="24">
        <f t="shared" si="42"/>
        <v>0</v>
      </c>
      <c r="I370" s="2"/>
      <c r="M370" s="94"/>
      <c r="N370" s="13"/>
    </row>
    <row r="371" spans="1:14" ht="30" x14ac:dyDescent="0.25">
      <c r="A371" s="29" t="s">
        <v>624</v>
      </c>
      <c r="B371" s="95" t="s">
        <v>119</v>
      </c>
      <c r="C371" s="51">
        <v>88485</v>
      </c>
      <c r="D371" s="97" t="s">
        <v>15</v>
      </c>
      <c r="E371" s="46">
        <f>E369</f>
        <v>39.119999999999997</v>
      </c>
      <c r="F371" s="235"/>
      <c r="G371" s="24">
        <f t="shared" si="41"/>
        <v>0</v>
      </c>
      <c r="H371" s="24">
        <f t="shared" si="42"/>
        <v>0</v>
      </c>
      <c r="I371" s="2"/>
      <c r="M371" s="94"/>
      <c r="N371" s="13"/>
    </row>
    <row r="372" spans="1:14" ht="33" customHeight="1" x14ac:dyDescent="0.25">
      <c r="A372" s="29" t="s">
        <v>625</v>
      </c>
      <c r="B372" s="95" t="s">
        <v>120</v>
      </c>
      <c r="C372" s="51">
        <v>88489</v>
      </c>
      <c r="D372" s="97" t="s">
        <v>15</v>
      </c>
      <c r="E372" s="46">
        <f>E369</f>
        <v>39.119999999999997</v>
      </c>
      <c r="F372" s="235"/>
      <c r="G372" s="24">
        <f t="shared" si="41"/>
        <v>0</v>
      </c>
      <c r="H372" s="24">
        <f t="shared" si="42"/>
        <v>0</v>
      </c>
      <c r="I372" s="2"/>
      <c r="M372" s="94"/>
      <c r="N372" s="13"/>
    </row>
    <row r="373" spans="1:14" ht="63.75" customHeight="1" x14ac:dyDescent="0.25">
      <c r="A373" s="29" t="s">
        <v>626</v>
      </c>
      <c r="B373" s="83" t="s">
        <v>51</v>
      </c>
      <c r="C373" s="98">
        <v>87882</v>
      </c>
      <c r="D373" s="99" t="s">
        <v>15</v>
      </c>
      <c r="E373" s="46">
        <f>E358</f>
        <v>12.24</v>
      </c>
      <c r="F373" s="236"/>
      <c r="G373" s="24">
        <f t="shared" si="41"/>
        <v>0</v>
      </c>
      <c r="H373" s="24">
        <f t="shared" si="42"/>
        <v>0</v>
      </c>
      <c r="I373" s="2"/>
      <c r="M373" s="94"/>
      <c r="N373" s="13"/>
    </row>
    <row r="374" spans="1:14" ht="60" x14ac:dyDescent="0.25">
      <c r="A374" s="29" t="s">
        <v>627</v>
      </c>
      <c r="B374" s="83" t="s">
        <v>52</v>
      </c>
      <c r="C374" s="98">
        <v>87411</v>
      </c>
      <c r="D374" s="99" t="s">
        <v>15</v>
      </c>
      <c r="E374" s="46">
        <f>E373</f>
        <v>12.24</v>
      </c>
      <c r="F374" s="236"/>
      <c r="G374" s="24">
        <f t="shared" si="41"/>
        <v>0</v>
      </c>
      <c r="H374" s="24">
        <f t="shared" si="42"/>
        <v>0</v>
      </c>
      <c r="I374" s="2"/>
      <c r="M374" s="94"/>
      <c r="N374" s="13"/>
    </row>
    <row r="375" spans="1:14" ht="30" x14ac:dyDescent="0.25">
      <c r="A375" s="29" t="s">
        <v>628</v>
      </c>
      <c r="B375" s="95" t="s">
        <v>53</v>
      </c>
      <c r="C375" s="51">
        <v>88484</v>
      </c>
      <c r="D375" s="97" t="s">
        <v>15</v>
      </c>
      <c r="E375" s="46">
        <f>E373</f>
        <v>12.24</v>
      </c>
      <c r="F375" s="235"/>
      <c r="G375" s="24">
        <f t="shared" si="41"/>
        <v>0</v>
      </c>
      <c r="H375" s="24">
        <f t="shared" si="42"/>
        <v>0</v>
      </c>
      <c r="I375" s="2"/>
      <c r="M375" s="94"/>
      <c r="N375" s="13"/>
    </row>
    <row r="376" spans="1:14" ht="32.25" customHeight="1" x14ac:dyDescent="0.25">
      <c r="A376" s="29" t="s">
        <v>629</v>
      </c>
      <c r="B376" s="95" t="s">
        <v>745</v>
      </c>
      <c r="C376" s="51">
        <v>88488</v>
      </c>
      <c r="D376" s="97" t="s">
        <v>15</v>
      </c>
      <c r="E376" s="46">
        <f>E373</f>
        <v>12.24</v>
      </c>
      <c r="F376" s="236"/>
      <c r="G376" s="24">
        <f t="shared" si="41"/>
        <v>0</v>
      </c>
      <c r="H376" s="24">
        <f t="shared" si="42"/>
        <v>0</v>
      </c>
      <c r="I376" s="2"/>
      <c r="M376" s="94"/>
      <c r="N376" s="13"/>
    </row>
    <row r="377" spans="1:14" ht="30" x14ac:dyDescent="0.25">
      <c r="A377" s="29" t="s">
        <v>630</v>
      </c>
      <c r="B377" s="95" t="s">
        <v>121</v>
      </c>
      <c r="C377" s="51">
        <v>98689</v>
      </c>
      <c r="D377" s="97" t="s">
        <v>18</v>
      </c>
      <c r="E377" s="46">
        <v>0.8</v>
      </c>
      <c r="F377" s="235"/>
      <c r="G377" s="24">
        <f t="shared" si="41"/>
        <v>0</v>
      </c>
      <c r="H377" s="24">
        <f t="shared" si="42"/>
        <v>0</v>
      </c>
      <c r="I377" s="2"/>
      <c r="M377" s="94"/>
      <c r="N377" s="13"/>
    </row>
    <row r="378" spans="1:14" ht="60" x14ac:dyDescent="0.25">
      <c r="A378" s="29" t="s">
        <v>631</v>
      </c>
      <c r="B378" s="95" t="s">
        <v>122</v>
      </c>
      <c r="C378" s="51">
        <v>101965</v>
      </c>
      <c r="D378" s="97" t="s">
        <v>18</v>
      </c>
      <c r="E378" s="46">
        <f>2.05</f>
        <v>2.0499999999999998</v>
      </c>
      <c r="F378" s="235"/>
      <c r="G378" s="24">
        <f t="shared" si="41"/>
        <v>0</v>
      </c>
      <c r="H378" s="24">
        <f t="shared" si="42"/>
        <v>0</v>
      </c>
      <c r="I378" s="2"/>
      <c r="M378" s="94"/>
      <c r="N378" s="13"/>
    </row>
    <row r="379" spans="1:14" ht="30" x14ac:dyDescent="0.25">
      <c r="A379" s="29" t="s">
        <v>632</v>
      </c>
      <c r="B379" s="95" t="s">
        <v>162</v>
      </c>
      <c r="C379" s="51" t="s">
        <v>744</v>
      </c>
      <c r="D379" s="97" t="s">
        <v>8</v>
      </c>
      <c r="E379" s="46">
        <v>12</v>
      </c>
      <c r="F379" s="235"/>
      <c r="G379" s="24">
        <f t="shared" si="41"/>
        <v>0</v>
      </c>
      <c r="H379" s="24">
        <f t="shared" si="42"/>
        <v>0</v>
      </c>
      <c r="I379" s="2"/>
      <c r="M379" s="94"/>
      <c r="N379" s="13"/>
    </row>
    <row r="380" spans="1:14" ht="60" x14ac:dyDescent="0.25">
      <c r="A380" s="29" t="s">
        <v>633</v>
      </c>
      <c r="B380" s="95" t="s">
        <v>54</v>
      </c>
      <c r="C380" s="51">
        <v>97583</v>
      </c>
      <c r="D380" s="97" t="s">
        <v>8</v>
      </c>
      <c r="E380" s="46">
        <v>1</v>
      </c>
      <c r="F380" s="235"/>
      <c r="G380" s="24">
        <f t="shared" si="41"/>
        <v>0</v>
      </c>
      <c r="H380" s="24">
        <f t="shared" si="42"/>
        <v>0</v>
      </c>
      <c r="I380" s="2"/>
      <c r="M380" s="94"/>
      <c r="N380" s="13"/>
    </row>
    <row r="381" spans="1:14" ht="60" x14ac:dyDescent="0.25">
      <c r="A381" s="29" t="s">
        <v>634</v>
      </c>
      <c r="B381" s="95" t="s">
        <v>126</v>
      </c>
      <c r="C381" s="51">
        <v>89708</v>
      </c>
      <c r="D381" s="97" t="s">
        <v>8</v>
      </c>
      <c r="E381" s="46">
        <v>1</v>
      </c>
      <c r="F381" s="235"/>
      <c r="G381" s="24">
        <f t="shared" si="41"/>
        <v>0</v>
      </c>
      <c r="H381" s="24">
        <f t="shared" si="42"/>
        <v>0</v>
      </c>
      <c r="I381" s="2"/>
      <c r="M381" s="94"/>
      <c r="N381" s="13"/>
    </row>
    <row r="382" spans="1:14" ht="30" x14ac:dyDescent="0.25">
      <c r="A382" s="29" t="s">
        <v>635</v>
      </c>
      <c r="B382" s="95" t="s">
        <v>90</v>
      </c>
      <c r="C382" s="98">
        <v>99814</v>
      </c>
      <c r="D382" s="97" t="s">
        <v>15</v>
      </c>
      <c r="E382" s="46">
        <f>E358</f>
        <v>12.24</v>
      </c>
      <c r="F382" s="235"/>
      <c r="G382" s="24">
        <f t="shared" si="41"/>
        <v>0</v>
      </c>
      <c r="H382" s="24">
        <f t="shared" si="42"/>
        <v>0</v>
      </c>
      <c r="I382" s="2"/>
      <c r="M382" s="94"/>
      <c r="N382" s="13"/>
    </row>
    <row r="383" spans="1:14" x14ac:dyDescent="0.25">
      <c r="A383" s="18" t="s">
        <v>636</v>
      </c>
      <c r="B383" s="19" t="s">
        <v>176</v>
      </c>
      <c r="C383" s="26"/>
      <c r="D383" s="37"/>
      <c r="E383" s="28"/>
      <c r="F383" s="28"/>
      <c r="G383" s="28"/>
      <c r="H383" s="8">
        <f>SUM(H384:H433)</f>
        <v>0</v>
      </c>
      <c r="I383" s="2"/>
      <c r="M383" s="94"/>
      <c r="N383" s="13"/>
    </row>
    <row r="384" spans="1:14" ht="60" x14ac:dyDescent="0.25">
      <c r="A384" s="29" t="s">
        <v>637</v>
      </c>
      <c r="B384" s="95" t="s">
        <v>102</v>
      </c>
      <c r="C384" s="51">
        <v>87263</v>
      </c>
      <c r="D384" s="97" t="s">
        <v>15</v>
      </c>
      <c r="E384" s="46">
        <f>3.4*3.3</f>
        <v>11.219999999999999</v>
      </c>
      <c r="F384" s="235"/>
      <c r="G384" s="24">
        <f t="shared" ref="G384:G415" si="43">ROUND(F384*J$1,2)</f>
        <v>0</v>
      </c>
      <c r="H384" s="24">
        <f t="shared" ref="H384:H433" si="44">ROUND(E384*G384,2)</f>
        <v>0</v>
      </c>
      <c r="I384" s="2"/>
      <c r="M384" s="94"/>
      <c r="N384" s="13"/>
    </row>
    <row r="385" spans="1:14" ht="75" x14ac:dyDescent="0.25">
      <c r="A385" s="29" t="s">
        <v>638</v>
      </c>
      <c r="B385" s="95" t="s">
        <v>103</v>
      </c>
      <c r="C385" s="51">
        <v>87735</v>
      </c>
      <c r="D385" s="97" t="s">
        <v>15</v>
      </c>
      <c r="E385" s="46">
        <f>E384</f>
        <v>11.219999999999999</v>
      </c>
      <c r="F385" s="235"/>
      <c r="G385" s="24">
        <f t="shared" si="43"/>
        <v>0</v>
      </c>
      <c r="H385" s="24">
        <f t="shared" si="44"/>
        <v>0</v>
      </c>
      <c r="I385" s="2"/>
      <c r="M385" s="94"/>
      <c r="N385" s="13"/>
    </row>
    <row r="386" spans="1:14" ht="45" x14ac:dyDescent="0.25">
      <c r="A386" s="29" t="s">
        <v>639</v>
      </c>
      <c r="B386" s="95" t="s">
        <v>147</v>
      </c>
      <c r="C386" s="51">
        <v>86901</v>
      </c>
      <c r="D386" s="97" t="s">
        <v>8</v>
      </c>
      <c r="E386" s="46">
        <v>2</v>
      </c>
      <c r="F386" s="235"/>
      <c r="G386" s="24">
        <f t="shared" si="43"/>
        <v>0</v>
      </c>
      <c r="H386" s="24">
        <f t="shared" si="44"/>
        <v>0</v>
      </c>
      <c r="I386" s="2"/>
      <c r="M386" s="94"/>
      <c r="N386" s="13"/>
    </row>
    <row r="387" spans="1:14" ht="45" x14ac:dyDescent="0.25">
      <c r="A387" s="29" t="s">
        <v>640</v>
      </c>
      <c r="B387" s="95" t="s">
        <v>177</v>
      </c>
      <c r="C387" s="51">
        <v>86895</v>
      </c>
      <c r="D387" s="97" t="s">
        <v>18</v>
      </c>
      <c r="E387" s="46">
        <v>1.64</v>
      </c>
      <c r="F387" s="235"/>
      <c r="G387" s="24">
        <f t="shared" si="43"/>
        <v>0</v>
      </c>
      <c r="H387" s="24">
        <f t="shared" si="44"/>
        <v>0</v>
      </c>
      <c r="I387" s="2"/>
      <c r="M387" s="94"/>
      <c r="N387" s="13"/>
    </row>
    <row r="388" spans="1:14" ht="30" x14ac:dyDescent="0.25">
      <c r="A388" s="29" t="s">
        <v>641</v>
      </c>
      <c r="B388" s="95" t="s">
        <v>107</v>
      </c>
      <c r="C388" s="51">
        <v>98685</v>
      </c>
      <c r="D388" s="97" t="s">
        <v>18</v>
      </c>
      <c r="E388" s="46">
        <f>1.64+0.6</f>
        <v>2.2399999999999998</v>
      </c>
      <c r="F388" s="235"/>
      <c r="G388" s="24">
        <f t="shared" si="43"/>
        <v>0</v>
      </c>
      <c r="H388" s="24">
        <f t="shared" si="44"/>
        <v>0</v>
      </c>
      <c r="I388" s="2"/>
      <c r="M388" s="94"/>
      <c r="N388" s="13"/>
    </row>
    <row r="389" spans="1:14" ht="30" x14ac:dyDescent="0.25">
      <c r="A389" s="29" t="s">
        <v>642</v>
      </c>
      <c r="B389" s="95" t="s">
        <v>149</v>
      </c>
      <c r="C389" s="51" t="s">
        <v>775</v>
      </c>
      <c r="D389" s="97" t="s">
        <v>18</v>
      </c>
      <c r="E389" s="46">
        <f>E387</f>
        <v>1.64</v>
      </c>
      <c r="F389" s="235"/>
      <c r="G389" s="24">
        <f t="shared" si="43"/>
        <v>0</v>
      </c>
      <c r="H389" s="24">
        <f t="shared" si="44"/>
        <v>0</v>
      </c>
      <c r="I389" s="2"/>
      <c r="M389" s="94"/>
      <c r="N389" s="13"/>
    </row>
    <row r="390" spans="1:14" ht="45" x14ac:dyDescent="0.25">
      <c r="A390" s="29" t="s">
        <v>643</v>
      </c>
      <c r="B390" s="95" t="s">
        <v>178</v>
      </c>
      <c r="C390" s="51">
        <v>86877</v>
      </c>
      <c r="D390" s="97" t="s">
        <v>8</v>
      </c>
      <c r="E390" s="46">
        <v>2</v>
      </c>
      <c r="F390" s="235"/>
      <c r="G390" s="24">
        <f t="shared" si="43"/>
        <v>0</v>
      </c>
      <c r="H390" s="24">
        <f t="shared" si="44"/>
        <v>0</v>
      </c>
      <c r="I390" s="2"/>
      <c r="M390" s="94"/>
      <c r="N390" s="13"/>
    </row>
    <row r="391" spans="1:14" ht="45" x14ac:dyDescent="0.25">
      <c r="A391" s="29" t="s">
        <v>644</v>
      </c>
      <c r="B391" s="95" t="s">
        <v>179</v>
      </c>
      <c r="C391" s="51">
        <v>86881</v>
      </c>
      <c r="D391" s="97" t="s">
        <v>8</v>
      </c>
      <c r="E391" s="46">
        <f>E390</f>
        <v>2</v>
      </c>
      <c r="F391" s="235"/>
      <c r="G391" s="24">
        <f t="shared" si="43"/>
        <v>0</v>
      </c>
      <c r="H391" s="24">
        <f t="shared" si="44"/>
        <v>0</v>
      </c>
      <c r="I391" s="2"/>
      <c r="M391" s="94"/>
      <c r="N391" s="13"/>
    </row>
    <row r="392" spans="1:14" ht="30" x14ac:dyDescent="0.25">
      <c r="A392" s="29" t="s">
        <v>645</v>
      </c>
      <c r="B392" s="95" t="s">
        <v>152</v>
      </c>
      <c r="C392" s="51">
        <v>86886</v>
      </c>
      <c r="D392" s="97" t="s">
        <v>8</v>
      </c>
      <c r="E392" s="46">
        <f>E390</f>
        <v>2</v>
      </c>
      <c r="F392" s="235"/>
      <c r="G392" s="24">
        <f t="shared" si="43"/>
        <v>0</v>
      </c>
      <c r="H392" s="24">
        <f t="shared" si="44"/>
        <v>0</v>
      </c>
      <c r="I392" s="2"/>
      <c r="M392" s="94"/>
      <c r="N392" s="13"/>
    </row>
    <row r="393" spans="1:14" ht="45" x14ac:dyDescent="0.25">
      <c r="A393" s="29" t="s">
        <v>646</v>
      </c>
      <c r="B393" s="95" t="s">
        <v>153</v>
      </c>
      <c r="C393" s="51">
        <v>86915</v>
      </c>
      <c r="D393" s="97" t="s">
        <v>8</v>
      </c>
      <c r="E393" s="46">
        <f>E390</f>
        <v>2</v>
      </c>
      <c r="F393" s="235"/>
      <c r="G393" s="24">
        <f t="shared" si="43"/>
        <v>0</v>
      </c>
      <c r="H393" s="24">
        <f t="shared" si="44"/>
        <v>0</v>
      </c>
      <c r="I393" s="2"/>
      <c r="M393" s="94"/>
      <c r="N393" s="13"/>
    </row>
    <row r="394" spans="1:14" ht="45" x14ac:dyDescent="0.25">
      <c r="A394" s="29" t="s">
        <v>647</v>
      </c>
      <c r="B394" s="95" t="s">
        <v>145</v>
      </c>
      <c r="C394" s="51">
        <v>100860</v>
      </c>
      <c r="D394" s="97" t="s">
        <v>8</v>
      </c>
      <c r="E394" s="46">
        <v>2</v>
      </c>
      <c r="F394" s="235"/>
      <c r="G394" s="24">
        <f t="shared" si="43"/>
        <v>0</v>
      </c>
      <c r="H394" s="24">
        <f t="shared" si="44"/>
        <v>0</v>
      </c>
      <c r="I394" s="2"/>
      <c r="M394" s="94"/>
      <c r="N394" s="13"/>
    </row>
    <row r="395" spans="1:14" ht="30" x14ac:dyDescent="0.25">
      <c r="A395" s="29" t="s">
        <v>648</v>
      </c>
      <c r="B395" s="95" t="s">
        <v>146</v>
      </c>
      <c r="C395" s="51">
        <v>100857</v>
      </c>
      <c r="D395" s="97" t="s">
        <v>8</v>
      </c>
      <c r="E395" s="46">
        <f>E394</f>
        <v>2</v>
      </c>
      <c r="F395" s="235"/>
      <c r="G395" s="24">
        <f t="shared" si="43"/>
        <v>0</v>
      </c>
      <c r="H395" s="24">
        <f t="shared" si="44"/>
        <v>0</v>
      </c>
      <c r="I395" s="2"/>
      <c r="M395" s="94"/>
      <c r="N395" s="13"/>
    </row>
    <row r="396" spans="1:14" ht="60" x14ac:dyDescent="0.25">
      <c r="A396" s="29" t="s">
        <v>649</v>
      </c>
      <c r="B396" s="95" t="s">
        <v>154</v>
      </c>
      <c r="C396" s="51">
        <v>102253</v>
      </c>
      <c r="D396" s="97" t="s">
        <v>15</v>
      </c>
      <c r="E396" s="46">
        <f>ROUND((3.3+3*1.2-(4*0.6))*1.75+(0.8+0.6)*1.75,2)</f>
        <v>10.33</v>
      </c>
      <c r="F396" s="235"/>
      <c r="G396" s="24">
        <f t="shared" si="43"/>
        <v>0</v>
      </c>
      <c r="H396" s="24">
        <f t="shared" si="44"/>
        <v>0</v>
      </c>
      <c r="I396" s="2"/>
      <c r="J396" s="32"/>
      <c r="M396" s="94"/>
      <c r="N396" s="13"/>
    </row>
    <row r="397" spans="1:14" ht="48" customHeight="1" x14ac:dyDescent="0.25">
      <c r="A397" s="29" t="s">
        <v>650</v>
      </c>
      <c r="B397" s="95" t="s">
        <v>155</v>
      </c>
      <c r="C397" s="51">
        <v>91341</v>
      </c>
      <c r="D397" s="97" t="s">
        <v>15</v>
      </c>
      <c r="E397" s="46">
        <f>4*(0.6*1.6)</f>
        <v>3.84</v>
      </c>
      <c r="F397" s="235"/>
      <c r="G397" s="24">
        <f t="shared" si="43"/>
        <v>0</v>
      </c>
      <c r="H397" s="24">
        <f t="shared" si="44"/>
        <v>0</v>
      </c>
      <c r="I397" s="2"/>
      <c r="M397" s="94"/>
      <c r="N397" s="13"/>
    </row>
    <row r="398" spans="1:14" ht="30" x14ac:dyDescent="0.25">
      <c r="A398" s="29" t="s">
        <v>651</v>
      </c>
      <c r="B398" s="95" t="s">
        <v>156</v>
      </c>
      <c r="C398" s="51">
        <v>100705</v>
      </c>
      <c r="D398" s="97" t="s">
        <v>8</v>
      </c>
      <c r="E398" s="46">
        <v>4</v>
      </c>
      <c r="F398" s="235"/>
      <c r="G398" s="24">
        <f t="shared" si="43"/>
        <v>0</v>
      </c>
      <c r="H398" s="24">
        <f t="shared" si="44"/>
        <v>0</v>
      </c>
      <c r="I398" s="2"/>
      <c r="M398" s="94"/>
      <c r="N398" s="13"/>
    </row>
    <row r="399" spans="1:14" ht="30" x14ac:dyDescent="0.25">
      <c r="A399" s="29" t="s">
        <v>652</v>
      </c>
      <c r="B399" s="95" t="s">
        <v>109</v>
      </c>
      <c r="C399" s="51">
        <v>93183</v>
      </c>
      <c r="D399" s="97" t="s">
        <v>18</v>
      </c>
      <c r="E399" s="46">
        <f>1*(2+2*0.15)</f>
        <v>2.2999999999999998</v>
      </c>
      <c r="F399" s="235"/>
      <c r="G399" s="24">
        <f t="shared" si="43"/>
        <v>0</v>
      </c>
      <c r="H399" s="24">
        <f t="shared" si="44"/>
        <v>0</v>
      </c>
      <c r="I399" s="2"/>
      <c r="M399" s="94"/>
      <c r="N399" s="13"/>
    </row>
    <row r="400" spans="1:14" ht="30" x14ac:dyDescent="0.25">
      <c r="A400" s="29" t="s">
        <v>653</v>
      </c>
      <c r="B400" s="95" t="s">
        <v>110</v>
      </c>
      <c r="C400" s="51">
        <v>93195</v>
      </c>
      <c r="D400" s="97" t="s">
        <v>18</v>
      </c>
      <c r="E400" s="46">
        <f>E399</f>
        <v>2.2999999999999998</v>
      </c>
      <c r="F400" s="235"/>
      <c r="G400" s="24">
        <f t="shared" si="43"/>
        <v>0</v>
      </c>
      <c r="H400" s="24">
        <f t="shared" si="44"/>
        <v>0</v>
      </c>
      <c r="I400" s="2"/>
      <c r="M400" s="94"/>
      <c r="N400" s="13"/>
    </row>
    <row r="401" spans="1:14" ht="90" x14ac:dyDescent="0.25">
      <c r="A401" s="29" t="s">
        <v>654</v>
      </c>
      <c r="B401" s="95" t="s">
        <v>111</v>
      </c>
      <c r="C401" s="51" t="s">
        <v>743</v>
      </c>
      <c r="D401" s="97" t="s">
        <v>15</v>
      </c>
      <c r="E401" s="46">
        <f>(2*0.6)</f>
        <v>1.2</v>
      </c>
      <c r="F401" s="235"/>
      <c r="G401" s="24">
        <f t="shared" si="43"/>
        <v>0</v>
      </c>
      <c r="H401" s="24">
        <f t="shared" si="44"/>
        <v>0</v>
      </c>
      <c r="I401" s="2"/>
      <c r="M401" s="94"/>
      <c r="N401" s="13"/>
    </row>
    <row r="402" spans="1:14" ht="30" x14ac:dyDescent="0.25">
      <c r="A402" s="29" t="s">
        <v>655</v>
      </c>
      <c r="B402" s="95" t="s">
        <v>112</v>
      </c>
      <c r="C402" s="51">
        <v>93184</v>
      </c>
      <c r="D402" s="97" t="s">
        <v>18</v>
      </c>
      <c r="E402" s="46">
        <f>2*(0.8+2*0.15)</f>
        <v>2.2000000000000002</v>
      </c>
      <c r="F402" s="235"/>
      <c r="G402" s="24">
        <f t="shared" si="43"/>
        <v>0</v>
      </c>
      <c r="H402" s="24">
        <f t="shared" si="44"/>
        <v>0</v>
      </c>
      <c r="I402" s="2"/>
      <c r="M402" s="94"/>
      <c r="N402" s="13"/>
    </row>
    <row r="403" spans="1:14" ht="105" x14ac:dyDescent="0.25">
      <c r="A403" s="29" t="s">
        <v>656</v>
      </c>
      <c r="B403" s="95" t="s">
        <v>113</v>
      </c>
      <c r="C403" s="51">
        <v>90843</v>
      </c>
      <c r="D403" s="97" t="s">
        <v>8</v>
      </c>
      <c r="E403" s="46">
        <v>1</v>
      </c>
      <c r="F403" s="235"/>
      <c r="G403" s="24">
        <f t="shared" si="43"/>
        <v>0</v>
      </c>
      <c r="H403" s="24">
        <f t="shared" si="44"/>
        <v>0</v>
      </c>
      <c r="I403" s="2"/>
      <c r="M403" s="94"/>
      <c r="N403" s="13"/>
    </row>
    <row r="404" spans="1:14" ht="30" x14ac:dyDescent="0.25">
      <c r="A404" s="29" t="s">
        <v>657</v>
      </c>
      <c r="B404" s="83" t="s">
        <v>114</v>
      </c>
      <c r="C404" s="98">
        <v>102193</v>
      </c>
      <c r="D404" s="99" t="s">
        <v>15</v>
      </c>
      <c r="E404" s="85">
        <f>E403*2*(0.8*2.1)</f>
        <v>3.3600000000000003</v>
      </c>
      <c r="F404" s="236"/>
      <c r="G404" s="24">
        <f t="shared" si="43"/>
        <v>0</v>
      </c>
      <c r="H404" s="24">
        <f t="shared" si="44"/>
        <v>0</v>
      </c>
      <c r="I404" s="2"/>
      <c r="M404" s="94"/>
      <c r="N404" s="13"/>
    </row>
    <row r="405" spans="1:14" ht="30" x14ac:dyDescent="0.25">
      <c r="A405" s="29" t="s">
        <v>658</v>
      </c>
      <c r="B405" s="83" t="s">
        <v>115</v>
      </c>
      <c r="C405" s="98">
        <v>102197</v>
      </c>
      <c r="D405" s="99" t="s">
        <v>15</v>
      </c>
      <c r="E405" s="85">
        <f>E404</f>
        <v>3.3600000000000003</v>
      </c>
      <c r="F405" s="236"/>
      <c r="G405" s="24">
        <f t="shared" si="43"/>
        <v>0</v>
      </c>
      <c r="H405" s="24">
        <f t="shared" si="44"/>
        <v>0</v>
      </c>
      <c r="I405" s="2"/>
      <c r="M405" s="94"/>
      <c r="N405" s="13"/>
    </row>
    <row r="406" spans="1:14" ht="45" x14ac:dyDescent="0.25">
      <c r="A406" s="29" t="s">
        <v>659</v>
      </c>
      <c r="B406" s="95" t="s">
        <v>116</v>
      </c>
      <c r="C406" s="51">
        <v>102219</v>
      </c>
      <c r="D406" s="97" t="s">
        <v>15</v>
      </c>
      <c r="E406" s="46">
        <f>E403*2*(0.8*2.1)</f>
        <v>3.3600000000000003</v>
      </c>
      <c r="F406" s="235"/>
      <c r="G406" s="24">
        <f t="shared" si="43"/>
        <v>0</v>
      </c>
      <c r="H406" s="24">
        <f t="shared" si="44"/>
        <v>0</v>
      </c>
      <c r="I406" s="2"/>
      <c r="M406" s="94"/>
      <c r="N406" s="13"/>
    </row>
    <row r="407" spans="1:14" ht="33" customHeight="1" x14ac:dyDescent="0.25">
      <c r="A407" s="29" t="s">
        <v>660</v>
      </c>
      <c r="B407" s="95" t="s">
        <v>180</v>
      </c>
      <c r="C407" s="51">
        <v>100858</v>
      </c>
      <c r="D407" s="97" t="s">
        <v>8</v>
      </c>
      <c r="E407" s="46">
        <v>2</v>
      </c>
      <c r="F407" s="235"/>
      <c r="G407" s="24">
        <f t="shared" si="43"/>
        <v>0</v>
      </c>
      <c r="H407" s="24">
        <f t="shared" si="44"/>
        <v>0</v>
      </c>
      <c r="I407" s="2"/>
      <c r="M407" s="94"/>
      <c r="N407" s="13"/>
    </row>
    <row r="408" spans="1:14" ht="45" x14ac:dyDescent="0.25">
      <c r="A408" s="29" t="s">
        <v>661</v>
      </c>
      <c r="B408" s="95" t="s">
        <v>143</v>
      </c>
      <c r="C408" s="51">
        <v>86888</v>
      </c>
      <c r="D408" s="97" t="s">
        <v>8</v>
      </c>
      <c r="E408" s="46">
        <v>2</v>
      </c>
      <c r="F408" s="235"/>
      <c r="G408" s="24">
        <f t="shared" si="43"/>
        <v>0</v>
      </c>
      <c r="H408" s="24">
        <f t="shared" si="44"/>
        <v>0</v>
      </c>
      <c r="I408" s="2"/>
      <c r="M408" s="94"/>
      <c r="N408" s="13"/>
    </row>
    <row r="409" spans="1:14" ht="30" x14ac:dyDescent="0.25">
      <c r="A409" s="29" t="s">
        <v>662</v>
      </c>
      <c r="B409" s="95" t="s">
        <v>144</v>
      </c>
      <c r="C409" s="51">
        <v>100849</v>
      </c>
      <c r="D409" s="97" t="s">
        <v>8</v>
      </c>
      <c r="E409" s="46">
        <f>E408</f>
        <v>2</v>
      </c>
      <c r="F409" s="235"/>
      <c r="G409" s="24">
        <f t="shared" si="43"/>
        <v>0</v>
      </c>
      <c r="H409" s="24">
        <f t="shared" si="44"/>
        <v>0</v>
      </c>
      <c r="I409" s="2"/>
      <c r="M409" s="94"/>
      <c r="N409" s="13"/>
    </row>
    <row r="410" spans="1:14" ht="60" x14ac:dyDescent="0.25">
      <c r="A410" s="29" t="s">
        <v>663</v>
      </c>
      <c r="B410" s="95" t="s">
        <v>117</v>
      </c>
      <c r="C410" s="51">
        <v>87878</v>
      </c>
      <c r="D410" s="97" t="s">
        <v>15</v>
      </c>
      <c r="E410" s="46">
        <f>2*(3.3+3.4)*3-(E401+(E403+E442)*(0.8*2.1))</f>
        <v>35.639999999999993</v>
      </c>
      <c r="F410" s="235"/>
      <c r="G410" s="24">
        <f t="shared" si="43"/>
        <v>0</v>
      </c>
      <c r="H410" s="24">
        <f t="shared" si="44"/>
        <v>0</v>
      </c>
      <c r="I410" s="2"/>
      <c r="M410" s="94"/>
      <c r="N410" s="13"/>
    </row>
    <row r="411" spans="1:14" ht="105" x14ac:dyDescent="0.25">
      <c r="A411" s="29" t="s">
        <v>664</v>
      </c>
      <c r="B411" s="83" t="s">
        <v>138</v>
      </c>
      <c r="C411" s="98">
        <v>87535</v>
      </c>
      <c r="D411" s="99" t="s">
        <v>15</v>
      </c>
      <c r="E411" s="85">
        <f>E410</f>
        <v>35.639999999999993</v>
      </c>
      <c r="F411" s="236"/>
      <c r="G411" s="24">
        <f t="shared" si="43"/>
        <v>0</v>
      </c>
      <c r="H411" s="24">
        <f t="shared" si="44"/>
        <v>0</v>
      </c>
      <c r="I411" s="2"/>
      <c r="M411" s="94"/>
      <c r="N411" s="13"/>
    </row>
    <row r="412" spans="1:14" ht="75" x14ac:dyDescent="0.25">
      <c r="A412" s="29" t="s">
        <v>665</v>
      </c>
      <c r="B412" s="95" t="s">
        <v>137</v>
      </c>
      <c r="C412" s="51">
        <v>87265</v>
      </c>
      <c r="D412" s="97" t="s">
        <v>15</v>
      </c>
      <c r="E412" s="46">
        <f>E410</f>
        <v>35.639999999999993</v>
      </c>
      <c r="F412" s="235"/>
      <c r="G412" s="24">
        <f t="shared" si="43"/>
        <v>0</v>
      </c>
      <c r="H412" s="24">
        <f t="shared" si="44"/>
        <v>0</v>
      </c>
      <c r="I412" s="2"/>
      <c r="M412" s="94"/>
      <c r="N412" s="13"/>
    </row>
    <row r="413" spans="1:14" ht="62.25" customHeight="1" x14ac:dyDescent="0.25">
      <c r="A413" s="29" t="s">
        <v>666</v>
      </c>
      <c r="B413" s="83" t="s">
        <v>51</v>
      </c>
      <c r="C413" s="98">
        <v>87882</v>
      </c>
      <c r="D413" s="99" t="s">
        <v>15</v>
      </c>
      <c r="E413" s="46">
        <f>E384</f>
        <v>11.219999999999999</v>
      </c>
      <c r="F413" s="236"/>
      <c r="G413" s="24">
        <f t="shared" si="43"/>
        <v>0</v>
      </c>
      <c r="H413" s="24">
        <f t="shared" si="44"/>
        <v>0</v>
      </c>
      <c r="I413" s="2"/>
      <c r="M413" s="94"/>
      <c r="N413" s="13"/>
    </row>
    <row r="414" spans="1:14" ht="60" x14ac:dyDescent="0.25">
      <c r="A414" s="29" t="s">
        <v>667</v>
      </c>
      <c r="B414" s="83" t="s">
        <v>52</v>
      </c>
      <c r="C414" s="98">
        <v>87411</v>
      </c>
      <c r="D414" s="99" t="s">
        <v>15</v>
      </c>
      <c r="E414" s="46">
        <f>E413</f>
        <v>11.219999999999999</v>
      </c>
      <c r="F414" s="236"/>
      <c r="G414" s="24">
        <f t="shared" si="43"/>
        <v>0</v>
      </c>
      <c r="H414" s="24">
        <f t="shared" si="44"/>
        <v>0</v>
      </c>
      <c r="I414" s="2"/>
      <c r="M414" s="94"/>
      <c r="N414" s="13"/>
    </row>
    <row r="415" spans="1:14" ht="30" x14ac:dyDescent="0.25">
      <c r="A415" s="29" t="s">
        <v>668</v>
      </c>
      <c r="B415" s="95" t="s">
        <v>53</v>
      </c>
      <c r="C415" s="51">
        <v>88484</v>
      </c>
      <c r="D415" s="97" t="s">
        <v>15</v>
      </c>
      <c r="E415" s="46">
        <f>E413</f>
        <v>11.219999999999999</v>
      </c>
      <c r="F415" s="235"/>
      <c r="G415" s="24">
        <f t="shared" si="43"/>
        <v>0</v>
      </c>
      <c r="H415" s="24">
        <f t="shared" si="44"/>
        <v>0</v>
      </c>
      <c r="I415" s="2"/>
      <c r="M415" s="94"/>
      <c r="N415" s="13"/>
    </row>
    <row r="416" spans="1:14" ht="30" customHeight="1" x14ac:dyDescent="0.25">
      <c r="A416" s="29" t="s">
        <v>669</v>
      </c>
      <c r="B416" s="95" t="s">
        <v>745</v>
      </c>
      <c r="C416" s="51">
        <v>88488</v>
      </c>
      <c r="D416" s="97" t="s">
        <v>15</v>
      </c>
      <c r="E416" s="46">
        <f>E413</f>
        <v>11.219999999999999</v>
      </c>
      <c r="F416" s="236"/>
      <c r="G416" s="24">
        <f t="shared" ref="G416:G447" si="45">ROUND(F416*J$1,2)</f>
        <v>0</v>
      </c>
      <c r="H416" s="24">
        <f t="shared" si="44"/>
        <v>0</v>
      </c>
      <c r="I416" s="2"/>
      <c r="M416" s="94"/>
      <c r="N416" s="13"/>
    </row>
    <row r="417" spans="1:14" ht="30" x14ac:dyDescent="0.25">
      <c r="A417" s="29" t="s">
        <v>670</v>
      </c>
      <c r="B417" s="95" t="s">
        <v>121</v>
      </c>
      <c r="C417" s="51">
        <v>98689</v>
      </c>
      <c r="D417" s="97" t="s">
        <v>18</v>
      </c>
      <c r="E417" s="46">
        <f>2*0.8</f>
        <v>1.6</v>
      </c>
      <c r="F417" s="235"/>
      <c r="G417" s="24">
        <f t="shared" si="45"/>
        <v>0</v>
      </c>
      <c r="H417" s="24">
        <f t="shared" si="44"/>
        <v>0</v>
      </c>
      <c r="I417" s="2"/>
      <c r="M417" s="94"/>
      <c r="N417" s="13"/>
    </row>
    <row r="418" spans="1:14" ht="60" x14ac:dyDescent="0.25">
      <c r="A418" s="29" t="s">
        <v>671</v>
      </c>
      <c r="B418" s="95" t="s">
        <v>122</v>
      </c>
      <c r="C418" s="51">
        <v>101965</v>
      </c>
      <c r="D418" s="97" t="s">
        <v>18</v>
      </c>
      <c r="E418" s="46">
        <f>2.05</f>
        <v>2.0499999999999998</v>
      </c>
      <c r="F418" s="235"/>
      <c r="G418" s="24">
        <f t="shared" si="45"/>
        <v>0</v>
      </c>
      <c r="H418" s="24">
        <f t="shared" si="44"/>
        <v>0</v>
      </c>
      <c r="I418" s="2"/>
      <c r="M418" s="94"/>
      <c r="N418" s="13"/>
    </row>
    <row r="419" spans="1:14" ht="60" x14ac:dyDescent="0.25">
      <c r="A419" s="29" t="s">
        <v>672</v>
      </c>
      <c r="B419" s="95" t="s">
        <v>54</v>
      </c>
      <c r="C419" s="51">
        <v>97583</v>
      </c>
      <c r="D419" s="97" t="s">
        <v>8</v>
      </c>
      <c r="E419" s="46">
        <v>1</v>
      </c>
      <c r="F419" s="235"/>
      <c r="G419" s="24">
        <f t="shared" si="45"/>
        <v>0</v>
      </c>
      <c r="H419" s="24">
        <f t="shared" si="44"/>
        <v>0</v>
      </c>
      <c r="I419" s="2"/>
      <c r="M419" s="94"/>
      <c r="N419" s="13"/>
    </row>
    <row r="420" spans="1:14" ht="90" x14ac:dyDescent="0.25">
      <c r="A420" s="29" t="s">
        <v>673</v>
      </c>
      <c r="B420" s="95" t="s">
        <v>163</v>
      </c>
      <c r="C420" s="51">
        <v>91795</v>
      </c>
      <c r="D420" s="97" t="s">
        <v>18</v>
      </c>
      <c r="E420" s="46">
        <f>2*6</f>
        <v>12</v>
      </c>
      <c r="F420" s="235"/>
      <c r="G420" s="24">
        <f t="shared" si="45"/>
        <v>0</v>
      </c>
      <c r="H420" s="24">
        <f t="shared" si="44"/>
        <v>0</v>
      </c>
      <c r="I420" s="2"/>
      <c r="M420" s="94"/>
      <c r="N420" s="13"/>
    </row>
    <row r="421" spans="1:14" ht="90" x14ac:dyDescent="0.25">
      <c r="A421" s="29" t="s">
        <v>674</v>
      </c>
      <c r="B421" s="95" t="s">
        <v>164</v>
      </c>
      <c r="C421" s="51">
        <v>91793</v>
      </c>
      <c r="D421" s="97" t="s">
        <v>18</v>
      </c>
      <c r="E421" s="46">
        <f>2*5</f>
        <v>10</v>
      </c>
      <c r="F421" s="235"/>
      <c r="G421" s="24">
        <f t="shared" si="45"/>
        <v>0</v>
      </c>
      <c r="H421" s="24">
        <f t="shared" si="44"/>
        <v>0</v>
      </c>
      <c r="I421" s="2"/>
      <c r="M421" s="94"/>
      <c r="N421" s="13"/>
    </row>
    <row r="422" spans="1:14" ht="92.25" customHeight="1" x14ac:dyDescent="0.25">
      <c r="A422" s="29" t="s">
        <v>675</v>
      </c>
      <c r="B422" s="95" t="s">
        <v>181</v>
      </c>
      <c r="C422" s="51">
        <v>91792</v>
      </c>
      <c r="D422" s="97" t="s">
        <v>18</v>
      </c>
      <c r="E422" s="46">
        <f>(4+4)*2</f>
        <v>16</v>
      </c>
      <c r="F422" s="235"/>
      <c r="G422" s="24">
        <f t="shared" si="45"/>
        <v>0</v>
      </c>
      <c r="H422" s="24">
        <f t="shared" si="44"/>
        <v>0</v>
      </c>
      <c r="I422" s="2"/>
      <c r="M422" s="94"/>
      <c r="N422" s="13"/>
    </row>
    <row r="423" spans="1:14" ht="60" x14ac:dyDescent="0.25">
      <c r="A423" s="29" t="s">
        <v>676</v>
      </c>
      <c r="B423" s="95" t="s">
        <v>126</v>
      </c>
      <c r="C423" s="51">
        <v>89708</v>
      </c>
      <c r="D423" s="97" t="s">
        <v>8</v>
      </c>
      <c r="E423" s="46">
        <v>1</v>
      </c>
      <c r="F423" s="235"/>
      <c r="G423" s="24">
        <f t="shared" si="45"/>
        <v>0</v>
      </c>
      <c r="H423" s="24">
        <f t="shared" si="44"/>
        <v>0</v>
      </c>
      <c r="I423" s="2"/>
      <c r="M423" s="94"/>
      <c r="N423" s="13"/>
    </row>
    <row r="424" spans="1:14" ht="75" x14ac:dyDescent="0.25">
      <c r="A424" s="29" t="s">
        <v>677</v>
      </c>
      <c r="B424" s="95" t="s">
        <v>139</v>
      </c>
      <c r="C424" s="51">
        <v>89957</v>
      </c>
      <c r="D424" s="97" t="s">
        <v>8</v>
      </c>
      <c r="E424" s="46">
        <v>8</v>
      </c>
      <c r="F424" s="235"/>
      <c r="G424" s="24">
        <f t="shared" si="45"/>
        <v>0</v>
      </c>
      <c r="H424" s="24">
        <f t="shared" si="44"/>
        <v>0</v>
      </c>
      <c r="I424" s="2"/>
      <c r="M424" s="94"/>
      <c r="N424" s="13"/>
    </row>
    <row r="425" spans="1:14" ht="76.5" customHeight="1" x14ac:dyDescent="0.25">
      <c r="A425" s="29" t="s">
        <v>678</v>
      </c>
      <c r="B425" s="95" t="s">
        <v>128</v>
      </c>
      <c r="C425" s="51">
        <v>91785</v>
      </c>
      <c r="D425" s="97" t="s">
        <v>18</v>
      </c>
      <c r="E425" s="46">
        <f>1*10</f>
        <v>10</v>
      </c>
      <c r="F425" s="235"/>
      <c r="G425" s="24">
        <f t="shared" si="45"/>
        <v>0</v>
      </c>
      <c r="H425" s="24">
        <f t="shared" si="44"/>
        <v>0</v>
      </c>
      <c r="I425" s="2"/>
      <c r="M425" s="94"/>
      <c r="N425" s="13"/>
    </row>
    <row r="426" spans="1:14" ht="93" customHeight="1" x14ac:dyDescent="0.25">
      <c r="A426" s="29" t="s">
        <v>679</v>
      </c>
      <c r="B426" s="95" t="s">
        <v>182</v>
      </c>
      <c r="C426" s="51">
        <v>94792</v>
      </c>
      <c r="D426" s="97" t="s">
        <v>189</v>
      </c>
      <c r="E426" s="46">
        <v>1</v>
      </c>
      <c r="F426" s="235"/>
      <c r="G426" s="24">
        <f t="shared" si="45"/>
        <v>0</v>
      </c>
      <c r="H426" s="24">
        <f t="shared" si="44"/>
        <v>0</v>
      </c>
      <c r="I426" s="2"/>
      <c r="M426" s="94"/>
      <c r="N426" s="13"/>
    </row>
    <row r="427" spans="1:14" x14ac:dyDescent="0.25">
      <c r="A427" s="29" t="s">
        <v>680</v>
      </c>
      <c r="B427" s="95" t="s">
        <v>165</v>
      </c>
      <c r="C427" s="51" t="s">
        <v>166</v>
      </c>
      <c r="D427" s="97" t="s">
        <v>15</v>
      </c>
      <c r="E427" s="46">
        <f>2*(0.7*0.4)</f>
        <v>0.55999999999999994</v>
      </c>
      <c r="F427" s="235"/>
      <c r="G427" s="24">
        <f t="shared" si="45"/>
        <v>0</v>
      </c>
      <c r="H427" s="24">
        <f t="shared" si="44"/>
        <v>0</v>
      </c>
      <c r="I427" s="2"/>
      <c r="M427" s="94"/>
      <c r="N427" s="13"/>
    </row>
    <row r="428" spans="1:14" ht="30" x14ac:dyDescent="0.25">
      <c r="A428" s="29" t="s">
        <v>681</v>
      </c>
      <c r="B428" s="95" t="s">
        <v>167</v>
      </c>
      <c r="C428" s="51">
        <v>95542</v>
      </c>
      <c r="D428" s="97" t="s">
        <v>8</v>
      </c>
      <c r="E428" s="46">
        <v>1</v>
      </c>
      <c r="F428" s="235"/>
      <c r="G428" s="24">
        <f t="shared" si="45"/>
        <v>0</v>
      </c>
      <c r="H428" s="24">
        <f t="shared" si="44"/>
        <v>0</v>
      </c>
      <c r="I428" s="2"/>
      <c r="M428" s="94"/>
      <c r="N428" s="13"/>
    </row>
    <row r="429" spans="1:14" ht="30" x14ac:dyDescent="0.25">
      <c r="A429" s="29" t="s">
        <v>682</v>
      </c>
      <c r="B429" s="95" t="s">
        <v>168</v>
      </c>
      <c r="C429" s="51">
        <v>95543</v>
      </c>
      <c r="D429" s="97" t="s">
        <v>8</v>
      </c>
      <c r="E429" s="46">
        <v>2</v>
      </c>
      <c r="F429" s="235"/>
      <c r="G429" s="24">
        <f t="shared" si="45"/>
        <v>0</v>
      </c>
      <c r="H429" s="24">
        <f t="shared" si="44"/>
        <v>0</v>
      </c>
      <c r="I429" s="2"/>
      <c r="M429" s="94"/>
      <c r="N429" s="13"/>
    </row>
    <row r="430" spans="1:14" ht="60" x14ac:dyDescent="0.25">
      <c r="A430" s="29" t="s">
        <v>683</v>
      </c>
      <c r="B430" s="95" t="s">
        <v>169</v>
      </c>
      <c r="C430" s="96" t="s">
        <v>170</v>
      </c>
      <c r="D430" s="97" t="s">
        <v>8</v>
      </c>
      <c r="E430" s="46">
        <v>2</v>
      </c>
      <c r="F430" s="235"/>
      <c r="G430" s="24">
        <f t="shared" si="45"/>
        <v>0</v>
      </c>
      <c r="H430" s="24">
        <f t="shared" si="44"/>
        <v>0</v>
      </c>
      <c r="I430" s="2"/>
      <c r="M430" s="94"/>
      <c r="N430" s="13"/>
    </row>
    <row r="431" spans="1:14" ht="48" customHeight="1" x14ac:dyDescent="0.25">
      <c r="A431" s="29" t="s">
        <v>684</v>
      </c>
      <c r="B431" s="95" t="s">
        <v>171</v>
      </c>
      <c r="C431" s="51">
        <v>95547</v>
      </c>
      <c r="D431" s="97" t="s">
        <v>8</v>
      </c>
      <c r="E431" s="46">
        <v>1</v>
      </c>
      <c r="F431" s="235"/>
      <c r="G431" s="24">
        <f t="shared" si="45"/>
        <v>0</v>
      </c>
      <c r="H431" s="24">
        <f t="shared" si="44"/>
        <v>0</v>
      </c>
      <c r="I431" s="2"/>
      <c r="M431" s="94"/>
      <c r="N431" s="13"/>
    </row>
    <row r="432" spans="1:14" ht="30" x14ac:dyDescent="0.25">
      <c r="A432" s="29" t="s">
        <v>685</v>
      </c>
      <c r="B432" s="95" t="s">
        <v>172</v>
      </c>
      <c r="C432" s="51">
        <v>95545</v>
      </c>
      <c r="D432" s="97" t="s">
        <v>8</v>
      </c>
      <c r="E432" s="46">
        <v>2</v>
      </c>
      <c r="F432" s="235"/>
      <c r="G432" s="24">
        <f t="shared" si="45"/>
        <v>0</v>
      </c>
      <c r="H432" s="24">
        <f t="shared" si="44"/>
        <v>0</v>
      </c>
      <c r="I432" s="2"/>
      <c r="M432" s="94"/>
      <c r="N432" s="13"/>
    </row>
    <row r="433" spans="1:14" ht="30" x14ac:dyDescent="0.25">
      <c r="A433" s="29" t="s">
        <v>686</v>
      </c>
      <c r="B433" s="95" t="s">
        <v>90</v>
      </c>
      <c r="C433" s="98">
        <v>99814</v>
      </c>
      <c r="D433" s="97" t="s">
        <v>15</v>
      </c>
      <c r="E433" s="46">
        <f>E384</f>
        <v>11.219999999999999</v>
      </c>
      <c r="F433" s="235"/>
      <c r="G433" s="24">
        <f t="shared" si="45"/>
        <v>0</v>
      </c>
      <c r="H433" s="24">
        <f t="shared" si="44"/>
        <v>0</v>
      </c>
      <c r="I433" s="2"/>
      <c r="M433" s="94"/>
      <c r="N433" s="13"/>
    </row>
    <row r="434" spans="1:14" x14ac:dyDescent="0.25">
      <c r="A434" s="18" t="s">
        <v>687</v>
      </c>
      <c r="B434" s="19" t="s">
        <v>183</v>
      </c>
      <c r="C434" s="26"/>
      <c r="D434" s="37"/>
      <c r="E434" s="28"/>
      <c r="F434" s="28"/>
      <c r="G434" s="28"/>
      <c r="H434" s="8">
        <f>SUM(H435:H459)</f>
        <v>0</v>
      </c>
      <c r="I434" s="2"/>
      <c r="M434" s="94"/>
      <c r="N434" s="13"/>
    </row>
    <row r="435" spans="1:14" ht="60" x14ac:dyDescent="0.25">
      <c r="A435" s="29" t="s">
        <v>688</v>
      </c>
      <c r="B435" s="95" t="s">
        <v>142</v>
      </c>
      <c r="C435" s="51">
        <v>87262</v>
      </c>
      <c r="D435" s="97" t="s">
        <v>15</v>
      </c>
      <c r="E435" s="46">
        <f>2.35*3.4</f>
        <v>7.99</v>
      </c>
      <c r="F435" s="235"/>
      <c r="G435" s="24">
        <f t="shared" ref="G435:G459" si="46">ROUND(F435*J$1,2)</f>
        <v>0</v>
      </c>
      <c r="H435" s="24">
        <f t="shared" ref="H435:H459" si="47">ROUND(E435*G435,2)</f>
        <v>0</v>
      </c>
      <c r="I435" s="2"/>
      <c r="M435" s="94"/>
      <c r="N435" s="13"/>
    </row>
    <row r="436" spans="1:14" ht="75" x14ac:dyDescent="0.25">
      <c r="A436" s="29" t="s">
        <v>689</v>
      </c>
      <c r="B436" s="95" t="s">
        <v>103</v>
      </c>
      <c r="C436" s="51">
        <v>87735</v>
      </c>
      <c r="D436" s="97" t="s">
        <v>15</v>
      </c>
      <c r="E436" s="46">
        <f>E435</f>
        <v>7.99</v>
      </c>
      <c r="F436" s="235"/>
      <c r="G436" s="24">
        <f t="shared" si="46"/>
        <v>0</v>
      </c>
      <c r="H436" s="24">
        <f t="shared" si="47"/>
        <v>0</v>
      </c>
      <c r="I436" s="2"/>
      <c r="M436" s="94"/>
      <c r="N436" s="13"/>
    </row>
    <row r="437" spans="1:14" ht="45" x14ac:dyDescent="0.25">
      <c r="A437" s="29" t="s">
        <v>690</v>
      </c>
      <c r="B437" s="95" t="s">
        <v>184</v>
      </c>
      <c r="C437" s="51" t="s">
        <v>158</v>
      </c>
      <c r="D437" s="97" t="s">
        <v>18</v>
      </c>
      <c r="E437" s="46">
        <f>1.35+2.35</f>
        <v>3.7</v>
      </c>
      <c r="F437" s="235"/>
      <c r="G437" s="24">
        <f t="shared" si="46"/>
        <v>0</v>
      </c>
      <c r="H437" s="24">
        <f t="shared" si="47"/>
        <v>0</v>
      </c>
      <c r="I437" s="2"/>
      <c r="M437" s="94"/>
      <c r="N437" s="13"/>
    </row>
    <row r="438" spans="1:14" ht="30" x14ac:dyDescent="0.25">
      <c r="A438" s="29" t="s">
        <v>691</v>
      </c>
      <c r="B438" s="95" t="s">
        <v>159</v>
      </c>
      <c r="C438" s="51">
        <v>93182</v>
      </c>
      <c r="D438" s="97" t="s">
        <v>18</v>
      </c>
      <c r="E438" s="46">
        <f>1*(1.5+2*0.15)</f>
        <v>1.8</v>
      </c>
      <c r="F438" s="235"/>
      <c r="G438" s="24">
        <f t="shared" si="46"/>
        <v>0</v>
      </c>
      <c r="H438" s="24">
        <f t="shared" si="47"/>
        <v>0</v>
      </c>
      <c r="I438" s="2"/>
      <c r="M438" s="94"/>
      <c r="N438" s="13"/>
    </row>
    <row r="439" spans="1:14" ht="45" x14ac:dyDescent="0.25">
      <c r="A439" s="29" t="s">
        <v>692</v>
      </c>
      <c r="B439" s="95" t="s">
        <v>160</v>
      </c>
      <c r="C439" s="51">
        <v>93196</v>
      </c>
      <c r="D439" s="97" t="s">
        <v>18</v>
      </c>
      <c r="E439" s="46">
        <f>E438</f>
        <v>1.8</v>
      </c>
      <c r="F439" s="235"/>
      <c r="G439" s="24">
        <f t="shared" si="46"/>
        <v>0</v>
      </c>
      <c r="H439" s="24">
        <f t="shared" si="47"/>
        <v>0</v>
      </c>
      <c r="I439" s="2"/>
      <c r="M439" s="94"/>
      <c r="N439" s="13"/>
    </row>
    <row r="440" spans="1:14" ht="90" x14ac:dyDescent="0.25">
      <c r="A440" s="29" t="s">
        <v>693</v>
      </c>
      <c r="B440" s="95" t="s">
        <v>111</v>
      </c>
      <c r="C440" s="51" t="s">
        <v>743</v>
      </c>
      <c r="D440" s="97" t="s">
        <v>15</v>
      </c>
      <c r="E440" s="46">
        <f>1*(1.5*0.6)</f>
        <v>0.89999999999999991</v>
      </c>
      <c r="F440" s="235"/>
      <c r="G440" s="24">
        <f t="shared" si="46"/>
        <v>0</v>
      </c>
      <c r="H440" s="24">
        <f t="shared" si="47"/>
        <v>0</v>
      </c>
      <c r="I440" s="2"/>
      <c r="M440" s="94"/>
      <c r="N440" s="13"/>
    </row>
    <row r="441" spans="1:14" ht="30" x14ac:dyDescent="0.25">
      <c r="A441" s="29" t="s">
        <v>694</v>
      </c>
      <c r="B441" s="95" t="s">
        <v>112</v>
      </c>
      <c r="C441" s="51">
        <v>93184</v>
      </c>
      <c r="D441" s="97" t="s">
        <v>18</v>
      </c>
      <c r="E441" s="46">
        <f>1*(0.8+2*0.15)</f>
        <v>1.1000000000000001</v>
      </c>
      <c r="F441" s="235"/>
      <c r="G441" s="24">
        <f t="shared" si="46"/>
        <v>0</v>
      </c>
      <c r="H441" s="24">
        <f t="shared" si="47"/>
        <v>0</v>
      </c>
      <c r="I441" s="2"/>
      <c r="M441" s="94"/>
      <c r="N441" s="13"/>
    </row>
    <row r="442" spans="1:14" ht="105" x14ac:dyDescent="0.25">
      <c r="A442" s="29" t="s">
        <v>695</v>
      </c>
      <c r="B442" s="95" t="s">
        <v>113</v>
      </c>
      <c r="C442" s="51">
        <v>90843</v>
      </c>
      <c r="D442" s="97" t="s">
        <v>8</v>
      </c>
      <c r="E442" s="46">
        <v>1</v>
      </c>
      <c r="F442" s="235"/>
      <c r="G442" s="24">
        <f t="shared" si="46"/>
        <v>0</v>
      </c>
      <c r="H442" s="24">
        <f t="shared" si="47"/>
        <v>0</v>
      </c>
      <c r="I442" s="2"/>
      <c r="M442" s="94"/>
      <c r="N442" s="13"/>
    </row>
    <row r="443" spans="1:14" ht="30" x14ac:dyDescent="0.25">
      <c r="A443" s="29" t="s">
        <v>696</v>
      </c>
      <c r="B443" s="83" t="s">
        <v>114</v>
      </c>
      <c r="C443" s="98">
        <v>102193</v>
      </c>
      <c r="D443" s="99" t="s">
        <v>15</v>
      </c>
      <c r="E443" s="85">
        <f>E442*2*(0.8*2.1)</f>
        <v>3.3600000000000003</v>
      </c>
      <c r="F443" s="236"/>
      <c r="G443" s="24">
        <f t="shared" si="46"/>
        <v>0</v>
      </c>
      <c r="H443" s="24">
        <f t="shared" si="47"/>
        <v>0</v>
      </c>
      <c r="I443" s="2"/>
      <c r="M443" s="94"/>
      <c r="N443" s="13"/>
    </row>
    <row r="444" spans="1:14" ht="30" x14ac:dyDescent="0.25">
      <c r="A444" s="29" t="s">
        <v>697</v>
      </c>
      <c r="B444" s="83" t="s">
        <v>115</v>
      </c>
      <c r="C444" s="98">
        <v>102197</v>
      </c>
      <c r="D444" s="99" t="s">
        <v>15</v>
      </c>
      <c r="E444" s="85">
        <f>E443</f>
        <v>3.3600000000000003</v>
      </c>
      <c r="F444" s="236"/>
      <c r="G444" s="24">
        <f t="shared" si="46"/>
        <v>0</v>
      </c>
      <c r="H444" s="24">
        <f t="shared" si="47"/>
        <v>0</v>
      </c>
      <c r="I444" s="2"/>
      <c r="M444" s="94"/>
      <c r="N444" s="13"/>
    </row>
    <row r="445" spans="1:14" ht="45" x14ac:dyDescent="0.25">
      <c r="A445" s="29" t="s">
        <v>698</v>
      </c>
      <c r="B445" s="95" t="s">
        <v>116</v>
      </c>
      <c r="C445" s="51">
        <v>102219</v>
      </c>
      <c r="D445" s="97" t="s">
        <v>15</v>
      </c>
      <c r="E445" s="46">
        <f>E442*2*(0.8*2.1)</f>
        <v>3.3600000000000003</v>
      </c>
      <c r="F445" s="235"/>
      <c r="G445" s="24">
        <f t="shared" si="46"/>
        <v>0</v>
      </c>
      <c r="H445" s="24">
        <f t="shared" si="47"/>
        <v>0</v>
      </c>
      <c r="I445" s="2"/>
      <c r="M445" s="94"/>
      <c r="N445" s="13"/>
    </row>
    <row r="446" spans="1:14" ht="60" x14ac:dyDescent="0.25">
      <c r="A446" s="29" t="s">
        <v>699</v>
      </c>
      <c r="B446" s="95" t="s">
        <v>117</v>
      </c>
      <c r="C446" s="51">
        <v>87878</v>
      </c>
      <c r="D446" s="97" t="s">
        <v>15</v>
      </c>
      <c r="E446" s="46">
        <f>2*(2.35+3.4)*3-(E440+(E442+E468)*0.8*2.1)</f>
        <v>30.240000000000002</v>
      </c>
      <c r="F446" s="235"/>
      <c r="G446" s="24">
        <f t="shared" si="46"/>
        <v>0</v>
      </c>
      <c r="H446" s="24">
        <f t="shared" si="47"/>
        <v>0</v>
      </c>
      <c r="I446" s="2"/>
      <c r="M446" s="94"/>
      <c r="N446" s="13"/>
    </row>
    <row r="447" spans="1:14" ht="90" x14ac:dyDescent="0.25">
      <c r="A447" s="29" t="s">
        <v>700</v>
      </c>
      <c r="B447" s="95" t="s">
        <v>118</v>
      </c>
      <c r="C447" s="51">
        <v>87529</v>
      </c>
      <c r="D447" s="97" t="s">
        <v>15</v>
      </c>
      <c r="E447" s="46">
        <f>E446</f>
        <v>30.240000000000002</v>
      </c>
      <c r="F447" s="235"/>
      <c r="G447" s="24">
        <f t="shared" si="46"/>
        <v>0</v>
      </c>
      <c r="H447" s="24">
        <f t="shared" si="47"/>
        <v>0</v>
      </c>
      <c r="I447" s="2"/>
      <c r="M447" s="94"/>
      <c r="N447" s="13"/>
    </row>
    <row r="448" spans="1:14" ht="30" x14ac:dyDescent="0.25">
      <c r="A448" s="29" t="s">
        <v>701</v>
      </c>
      <c r="B448" s="95" t="s">
        <v>119</v>
      </c>
      <c r="C448" s="51">
        <v>88485</v>
      </c>
      <c r="D448" s="97" t="s">
        <v>15</v>
      </c>
      <c r="E448" s="46">
        <f>E446</f>
        <v>30.240000000000002</v>
      </c>
      <c r="F448" s="235"/>
      <c r="G448" s="24">
        <f t="shared" si="46"/>
        <v>0</v>
      </c>
      <c r="H448" s="24">
        <f t="shared" si="47"/>
        <v>0</v>
      </c>
      <c r="I448" s="2"/>
      <c r="M448" s="94"/>
      <c r="N448" s="13"/>
    </row>
    <row r="449" spans="1:14" ht="32.25" customHeight="1" x14ac:dyDescent="0.25">
      <c r="A449" s="29" t="s">
        <v>702</v>
      </c>
      <c r="B449" s="95" t="s">
        <v>120</v>
      </c>
      <c r="C449" s="51">
        <v>88489</v>
      </c>
      <c r="D449" s="97" t="s">
        <v>15</v>
      </c>
      <c r="E449" s="46">
        <f>E446</f>
        <v>30.240000000000002</v>
      </c>
      <c r="F449" s="235"/>
      <c r="G449" s="24">
        <f t="shared" si="46"/>
        <v>0</v>
      </c>
      <c r="H449" s="24">
        <f t="shared" si="47"/>
        <v>0</v>
      </c>
      <c r="I449" s="2"/>
      <c r="M449" s="94"/>
      <c r="N449" s="13"/>
    </row>
    <row r="450" spans="1:14" ht="61.5" customHeight="1" x14ac:dyDescent="0.25">
      <c r="A450" s="29" t="s">
        <v>703</v>
      </c>
      <c r="B450" s="83" t="s">
        <v>51</v>
      </c>
      <c r="C450" s="98">
        <v>87882</v>
      </c>
      <c r="D450" s="99" t="s">
        <v>15</v>
      </c>
      <c r="E450" s="46">
        <f>E435</f>
        <v>7.99</v>
      </c>
      <c r="F450" s="236"/>
      <c r="G450" s="24">
        <f t="shared" si="46"/>
        <v>0</v>
      </c>
      <c r="H450" s="24">
        <f t="shared" si="47"/>
        <v>0</v>
      </c>
      <c r="I450" s="2"/>
      <c r="M450" s="94"/>
      <c r="N450" s="13"/>
    </row>
    <row r="451" spans="1:14" ht="60" x14ac:dyDescent="0.25">
      <c r="A451" s="29" t="s">
        <v>704</v>
      </c>
      <c r="B451" s="83" t="s">
        <v>52</v>
      </c>
      <c r="C451" s="98">
        <v>87411</v>
      </c>
      <c r="D451" s="99" t="s">
        <v>15</v>
      </c>
      <c r="E451" s="46">
        <f>E435</f>
        <v>7.99</v>
      </c>
      <c r="F451" s="236"/>
      <c r="G451" s="24">
        <f t="shared" si="46"/>
        <v>0</v>
      </c>
      <c r="H451" s="24">
        <f t="shared" si="47"/>
        <v>0</v>
      </c>
      <c r="I451" s="2"/>
      <c r="M451" s="94"/>
      <c r="N451" s="13"/>
    </row>
    <row r="452" spans="1:14" ht="30" x14ac:dyDescent="0.25">
      <c r="A452" s="29" t="s">
        <v>705</v>
      </c>
      <c r="B452" s="95" t="s">
        <v>53</v>
      </c>
      <c r="C452" s="51">
        <v>88484</v>
      </c>
      <c r="D452" s="97" t="s">
        <v>15</v>
      </c>
      <c r="E452" s="46">
        <f>E451</f>
        <v>7.99</v>
      </c>
      <c r="F452" s="235"/>
      <c r="G452" s="24">
        <f t="shared" si="46"/>
        <v>0</v>
      </c>
      <c r="H452" s="24">
        <f t="shared" si="47"/>
        <v>0</v>
      </c>
      <c r="I452" s="2"/>
      <c r="M452" s="94"/>
      <c r="N452" s="13"/>
    </row>
    <row r="453" spans="1:14" ht="33" customHeight="1" x14ac:dyDescent="0.25">
      <c r="A453" s="29" t="s">
        <v>706</v>
      </c>
      <c r="B453" s="95" t="s">
        <v>745</v>
      </c>
      <c r="C453" s="51">
        <v>88488</v>
      </c>
      <c r="D453" s="97" t="s">
        <v>15</v>
      </c>
      <c r="E453" s="46">
        <f>E451</f>
        <v>7.99</v>
      </c>
      <c r="F453" s="236"/>
      <c r="G453" s="24">
        <f t="shared" si="46"/>
        <v>0</v>
      </c>
      <c r="H453" s="24">
        <f t="shared" si="47"/>
        <v>0</v>
      </c>
      <c r="I453" s="2"/>
      <c r="M453" s="94"/>
      <c r="N453" s="13"/>
    </row>
    <row r="454" spans="1:14" ht="30" x14ac:dyDescent="0.25">
      <c r="A454" s="29" t="s">
        <v>707</v>
      </c>
      <c r="B454" s="95" t="s">
        <v>121</v>
      </c>
      <c r="C454" s="51">
        <v>98689</v>
      </c>
      <c r="D454" s="97" t="s">
        <v>18</v>
      </c>
      <c r="E454" s="46">
        <v>0.8</v>
      </c>
      <c r="F454" s="235"/>
      <c r="G454" s="24">
        <f t="shared" si="46"/>
        <v>0</v>
      </c>
      <c r="H454" s="24">
        <f t="shared" si="47"/>
        <v>0</v>
      </c>
      <c r="I454" s="2"/>
      <c r="M454" s="94"/>
      <c r="N454" s="13"/>
    </row>
    <row r="455" spans="1:14" ht="60" x14ac:dyDescent="0.25">
      <c r="A455" s="29" t="s">
        <v>708</v>
      </c>
      <c r="B455" s="95" t="s">
        <v>122</v>
      </c>
      <c r="C455" s="51">
        <v>101965</v>
      </c>
      <c r="D455" s="97" t="s">
        <v>18</v>
      </c>
      <c r="E455" s="46">
        <v>1.55</v>
      </c>
      <c r="F455" s="235"/>
      <c r="G455" s="24">
        <f t="shared" si="46"/>
        <v>0</v>
      </c>
      <c r="H455" s="24">
        <f t="shared" si="47"/>
        <v>0</v>
      </c>
      <c r="I455" s="2"/>
      <c r="M455" s="94"/>
      <c r="N455" s="13"/>
    </row>
    <row r="456" spans="1:14" ht="30" x14ac:dyDescent="0.25">
      <c r="A456" s="29" t="s">
        <v>709</v>
      </c>
      <c r="B456" s="95" t="s">
        <v>162</v>
      </c>
      <c r="C456" s="51" t="s">
        <v>744</v>
      </c>
      <c r="D456" s="97" t="s">
        <v>8</v>
      </c>
      <c r="E456" s="46">
        <v>16</v>
      </c>
      <c r="F456" s="235"/>
      <c r="G456" s="24">
        <f t="shared" si="46"/>
        <v>0</v>
      </c>
      <c r="H456" s="24">
        <f t="shared" si="47"/>
        <v>0</v>
      </c>
      <c r="I456" s="2"/>
      <c r="M456" s="94"/>
      <c r="N456" s="13"/>
    </row>
    <row r="457" spans="1:14" ht="60" x14ac:dyDescent="0.25">
      <c r="A457" s="29" t="s">
        <v>710</v>
      </c>
      <c r="B457" s="95" t="s">
        <v>54</v>
      </c>
      <c r="C457" s="51">
        <v>97583</v>
      </c>
      <c r="D457" s="97" t="s">
        <v>8</v>
      </c>
      <c r="E457" s="46">
        <v>1</v>
      </c>
      <c r="F457" s="235"/>
      <c r="G457" s="24">
        <f t="shared" si="46"/>
        <v>0</v>
      </c>
      <c r="H457" s="24">
        <f t="shared" si="47"/>
        <v>0</v>
      </c>
      <c r="I457" s="2"/>
      <c r="M457" s="94"/>
      <c r="N457" s="13"/>
    </row>
    <row r="458" spans="1:14" ht="60" x14ac:dyDescent="0.25">
      <c r="A458" s="29" t="s">
        <v>711</v>
      </c>
      <c r="B458" s="95" t="s">
        <v>126</v>
      </c>
      <c r="C458" s="51">
        <v>89708</v>
      </c>
      <c r="D458" s="97" t="s">
        <v>8</v>
      </c>
      <c r="E458" s="46">
        <v>1</v>
      </c>
      <c r="F458" s="235"/>
      <c r="G458" s="24">
        <f t="shared" si="46"/>
        <v>0</v>
      </c>
      <c r="H458" s="24">
        <f t="shared" si="47"/>
        <v>0</v>
      </c>
      <c r="I458" s="2"/>
      <c r="M458" s="94"/>
      <c r="N458" s="13"/>
    </row>
    <row r="459" spans="1:14" ht="30" x14ac:dyDescent="0.25">
      <c r="A459" s="29" t="s">
        <v>712</v>
      </c>
      <c r="B459" s="95" t="s">
        <v>90</v>
      </c>
      <c r="C459" s="98">
        <v>99814</v>
      </c>
      <c r="D459" s="97" t="s">
        <v>15</v>
      </c>
      <c r="E459" s="46">
        <f>E435</f>
        <v>7.99</v>
      </c>
      <c r="F459" s="235"/>
      <c r="G459" s="24">
        <f t="shared" si="46"/>
        <v>0</v>
      </c>
      <c r="H459" s="24">
        <f t="shared" si="47"/>
        <v>0</v>
      </c>
      <c r="I459" s="2"/>
      <c r="M459" s="94"/>
      <c r="N459" s="13"/>
    </row>
    <row r="460" spans="1:14" ht="30" x14ac:dyDescent="0.25">
      <c r="A460" s="18" t="s">
        <v>713</v>
      </c>
      <c r="B460" s="19" t="s">
        <v>185</v>
      </c>
      <c r="C460" s="26"/>
      <c r="D460" s="37"/>
      <c r="E460" s="28"/>
      <c r="F460" s="28"/>
      <c r="G460" s="28"/>
      <c r="H460" s="8">
        <f>SUM(H461:H485)</f>
        <v>0</v>
      </c>
      <c r="I460" s="2"/>
      <c r="M460" s="94"/>
      <c r="N460" s="13"/>
    </row>
    <row r="461" spans="1:14" ht="60" x14ac:dyDescent="0.25">
      <c r="A461" s="29" t="s">
        <v>714</v>
      </c>
      <c r="B461" s="95" t="s">
        <v>186</v>
      </c>
      <c r="C461" s="51">
        <v>87261</v>
      </c>
      <c r="D461" s="97" t="s">
        <v>15</v>
      </c>
      <c r="E461" s="46">
        <f>2*3.4</f>
        <v>6.8</v>
      </c>
      <c r="F461" s="235"/>
      <c r="G461" s="24">
        <f t="shared" ref="G461:G485" si="48">ROUND(F461*J$1,2)</f>
        <v>0</v>
      </c>
      <c r="H461" s="24">
        <f t="shared" ref="H461:H485" si="49">ROUND(E461*G461,2)</f>
        <v>0</v>
      </c>
      <c r="I461" s="2"/>
      <c r="M461" s="94"/>
      <c r="N461" s="13"/>
    </row>
    <row r="462" spans="1:14" ht="75" x14ac:dyDescent="0.25">
      <c r="A462" s="29" t="s">
        <v>715</v>
      </c>
      <c r="B462" s="95" t="s">
        <v>103</v>
      </c>
      <c r="C462" s="51">
        <v>87735</v>
      </c>
      <c r="D462" s="97" t="s">
        <v>15</v>
      </c>
      <c r="E462" s="46">
        <f>E461</f>
        <v>6.8</v>
      </c>
      <c r="F462" s="235"/>
      <c r="G462" s="24">
        <f t="shared" si="48"/>
        <v>0</v>
      </c>
      <c r="H462" s="24">
        <f t="shared" si="49"/>
        <v>0</v>
      </c>
      <c r="I462" s="2"/>
      <c r="M462" s="94"/>
      <c r="N462" s="13"/>
    </row>
    <row r="463" spans="1:14" ht="30" x14ac:dyDescent="0.25">
      <c r="A463" s="29" t="s">
        <v>716</v>
      </c>
      <c r="B463" s="95" t="s">
        <v>187</v>
      </c>
      <c r="C463" s="51" t="s">
        <v>158</v>
      </c>
      <c r="D463" s="97" t="s">
        <v>18</v>
      </c>
      <c r="E463" s="46">
        <v>2</v>
      </c>
      <c r="F463" s="235"/>
      <c r="G463" s="24">
        <f t="shared" si="48"/>
        <v>0</v>
      </c>
      <c r="H463" s="24">
        <f t="shared" si="49"/>
        <v>0</v>
      </c>
      <c r="I463" s="2"/>
      <c r="J463" s="38"/>
      <c r="M463" s="94"/>
      <c r="N463" s="13"/>
    </row>
    <row r="464" spans="1:14" ht="30" x14ac:dyDescent="0.25">
      <c r="A464" s="29" t="s">
        <v>717</v>
      </c>
      <c r="B464" s="95" t="s">
        <v>159</v>
      </c>
      <c r="C464" s="51">
        <v>93182</v>
      </c>
      <c r="D464" s="97" t="s">
        <v>18</v>
      </c>
      <c r="E464" s="46">
        <f>1*(0.8+2*0.15)</f>
        <v>1.1000000000000001</v>
      </c>
      <c r="F464" s="235"/>
      <c r="G464" s="24">
        <f t="shared" si="48"/>
        <v>0</v>
      </c>
      <c r="H464" s="24">
        <f t="shared" si="49"/>
        <v>0</v>
      </c>
      <c r="I464" s="2"/>
      <c r="M464" s="94"/>
      <c r="N464" s="13"/>
    </row>
    <row r="465" spans="1:14" ht="45" x14ac:dyDescent="0.25">
      <c r="A465" s="29" t="s">
        <v>718</v>
      </c>
      <c r="B465" s="95" t="s">
        <v>160</v>
      </c>
      <c r="C465" s="51">
        <v>93196</v>
      </c>
      <c r="D465" s="97" t="s">
        <v>18</v>
      </c>
      <c r="E465" s="46">
        <f>E464</f>
        <v>1.1000000000000001</v>
      </c>
      <c r="F465" s="235"/>
      <c r="G465" s="24">
        <f t="shared" si="48"/>
        <v>0</v>
      </c>
      <c r="H465" s="24">
        <f t="shared" si="49"/>
        <v>0</v>
      </c>
      <c r="I465" s="2"/>
      <c r="M465" s="94"/>
      <c r="N465" s="13"/>
    </row>
    <row r="466" spans="1:14" ht="90" x14ac:dyDescent="0.25">
      <c r="A466" s="29" t="s">
        <v>719</v>
      </c>
      <c r="B466" s="95" t="s">
        <v>111</v>
      </c>
      <c r="C466" s="51" t="s">
        <v>743</v>
      </c>
      <c r="D466" s="97" t="s">
        <v>15</v>
      </c>
      <c r="E466" s="46">
        <f>1*(1.5*0.6)</f>
        <v>0.89999999999999991</v>
      </c>
      <c r="F466" s="235"/>
      <c r="G466" s="24">
        <f t="shared" si="48"/>
        <v>0</v>
      </c>
      <c r="H466" s="24">
        <f t="shared" si="49"/>
        <v>0</v>
      </c>
      <c r="I466" s="2"/>
      <c r="M466" s="94"/>
      <c r="N466" s="13"/>
    </row>
    <row r="467" spans="1:14" ht="30" x14ac:dyDescent="0.25">
      <c r="A467" s="29" t="s">
        <v>720</v>
      </c>
      <c r="B467" s="95" t="s">
        <v>112</v>
      </c>
      <c r="C467" s="51">
        <v>93184</v>
      </c>
      <c r="D467" s="97" t="s">
        <v>18</v>
      </c>
      <c r="E467" s="46">
        <f>1*(0.8+2*0.15)</f>
        <v>1.1000000000000001</v>
      </c>
      <c r="F467" s="235"/>
      <c r="G467" s="24">
        <f t="shared" si="48"/>
        <v>0</v>
      </c>
      <c r="H467" s="24">
        <f t="shared" si="49"/>
        <v>0</v>
      </c>
      <c r="I467" s="2"/>
      <c r="M467" s="94"/>
      <c r="N467" s="13"/>
    </row>
    <row r="468" spans="1:14" ht="105" x14ac:dyDescent="0.25">
      <c r="A468" s="29" t="s">
        <v>721</v>
      </c>
      <c r="B468" s="95" t="s">
        <v>113</v>
      </c>
      <c r="C468" s="51">
        <v>90843</v>
      </c>
      <c r="D468" s="97" t="s">
        <v>8</v>
      </c>
      <c r="E468" s="46">
        <v>1</v>
      </c>
      <c r="F468" s="235"/>
      <c r="G468" s="24">
        <f t="shared" si="48"/>
        <v>0</v>
      </c>
      <c r="H468" s="24">
        <f t="shared" si="49"/>
        <v>0</v>
      </c>
      <c r="I468" s="2"/>
      <c r="M468" s="94"/>
      <c r="N468" s="13"/>
    </row>
    <row r="469" spans="1:14" ht="30" x14ac:dyDescent="0.25">
      <c r="A469" s="29" t="s">
        <v>722</v>
      </c>
      <c r="B469" s="83" t="s">
        <v>114</v>
      </c>
      <c r="C469" s="98">
        <v>102193</v>
      </c>
      <c r="D469" s="99" t="s">
        <v>15</v>
      </c>
      <c r="E469" s="85">
        <f>E468*2*(0.8*2.1)</f>
        <v>3.3600000000000003</v>
      </c>
      <c r="F469" s="236"/>
      <c r="G469" s="24">
        <f t="shared" si="48"/>
        <v>0</v>
      </c>
      <c r="H469" s="24">
        <f t="shared" si="49"/>
        <v>0</v>
      </c>
      <c r="I469" s="2"/>
      <c r="M469" s="94"/>
      <c r="N469" s="13"/>
    </row>
    <row r="470" spans="1:14" ht="30" x14ac:dyDescent="0.25">
      <c r="A470" s="29" t="s">
        <v>723</v>
      </c>
      <c r="B470" s="83" t="s">
        <v>115</v>
      </c>
      <c r="C470" s="98">
        <v>102197</v>
      </c>
      <c r="D470" s="99" t="s">
        <v>15</v>
      </c>
      <c r="E470" s="85">
        <f>E469</f>
        <v>3.3600000000000003</v>
      </c>
      <c r="F470" s="236"/>
      <c r="G470" s="24">
        <f t="shared" si="48"/>
        <v>0</v>
      </c>
      <c r="H470" s="24">
        <f t="shared" si="49"/>
        <v>0</v>
      </c>
      <c r="I470" s="2"/>
      <c r="M470" s="94"/>
      <c r="N470" s="13"/>
    </row>
    <row r="471" spans="1:14" ht="45" x14ac:dyDescent="0.25">
      <c r="A471" s="29" t="s">
        <v>724</v>
      </c>
      <c r="B471" s="95" t="s">
        <v>116</v>
      </c>
      <c r="C471" s="51">
        <v>102219</v>
      </c>
      <c r="D471" s="97" t="s">
        <v>15</v>
      </c>
      <c r="E471" s="46">
        <f>E468*2*(0.8*2.1)</f>
        <v>3.3600000000000003</v>
      </c>
      <c r="F471" s="235"/>
      <c r="G471" s="24">
        <f t="shared" si="48"/>
        <v>0</v>
      </c>
      <c r="H471" s="24">
        <f t="shared" si="49"/>
        <v>0</v>
      </c>
      <c r="I471" s="2"/>
      <c r="M471" s="94"/>
      <c r="N471" s="13"/>
    </row>
    <row r="472" spans="1:14" ht="60" x14ac:dyDescent="0.25">
      <c r="A472" s="29" t="s">
        <v>725</v>
      </c>
      <c r="B472" s="95" t="s">
        <v>117</v>
      </c>
      <c r="C472" s="51">
        <v>87878</v>
      </c>
      <c r="D472" s="97" t="s">
        <v>15</v>
      </c>
      <c r="E472" s="46">
        <f>2*(2+3.4)*3-(E466+E468*(0.8*2.1))</f>
        <v>29.820000000000007</v>
      </c>
      <c r="F472" s="235"/>
      <c r="G472" s="24">
        <f t="shared" si="48"/>
        <v>0</v>
      </c>
      <c r="H472" s="24">
        <f t="shared" si="49"/>
        <v>0</v>
      </c>
      <c r="I472" s="2"/>
      <c r="M472" s="94"/>
      <c r="N472" s="13"/>
    </row>
    <row r="473" spans="1:14" ht="90" x14ac:dyDescent="0.25">
      <c r="A473" s="29" t="s">
        <v>726</v>
      </c>
      <c r="B473" s="95" t="s">
        <v>118</v>
      </c>
      <c r="C473" s="51">
        <v>87529</v>
      </c>
      <c r="D473" s="97" t="s">
        <v>15</v>
      </c>
      <c r="E473" s="46">
        <f>E472</f>
        <v>29.820000000000007</v>
      </c>
      <c r="F473" s="235"/>
      <c r="G473" s="24">
        <f t="shared" si="48"/>
        <v>0</v>
      </c>
      <c r="H473" s="24">
        <f t="shared" si="49"/>
        <v>0</v>
      </c>
      <c r="I473" s="2"/>
      <c r="M473" s="94"/>
      <c r="N473" s="13"/>
    </row>
    <row r="474" spans="1:14" ht="30" x14ac:dyDescent="0.25">
      <c r="A474" s="29" t="s">
        <v>727</v>
      </c>
      <c r="B474" s="95" t="s">
        <v>119</v>
      </c>
      <c r="C474" s="51">
        <v>88485</v>
      </c>
      <c r="D474" s="97" t="s">
        <v>15</v>
      </c>
      <c r="E474" s="46">
        <f>E472</f>
        <v>29.820000000000007</v>
      </c>
      <c r="F474" s="235"/>
      <c r="G474" s="24">
        <f t="shared" si="48"/>
        <v>0</v>
      </c>
      <c r="H474" s="24">
        <f t="shared" si="49"/>
        <v>0</v>
      </c>
      <c r="I474" s="2"/>
      <c r="M474" s="94"/>
      <c r="N474" s="13"/>
    </row>
    <row r="475" spans="1:14" ht="33" customHeight="1" x14ac:dyDescent="0.25">
      <c r="A475" s="29" t="s">
        <v>728</v>
      </c>
      <c r="B475" s="95" t="s">
        <v>120</v>
      </c>
      <c r="C475" s="51">
        <v>88489</v>
      </c>
      <c r="D475" s="97" t="s">
        <v>15</v>
      </c>
      <c r="E475" s="46">
        <f>E472</f>
        <v>29.820000000000007</v>
      </c>
      <c r="F475" s="235"/>
      <c r="G475" s="24">
        <f t="shared" si="48"/>
        <v>0</v>
      </c>
      <c r="H475" s="24">
        <f t="shared" si="49"/>
        <v>0</v>
      </c>
      <c r="I475" s="2"/>
      <c r="M475" s="94"/>
      <c r="N475" s="13"/>
    </row>
    <row r="476" spans="1:14" ht="60.75" customHeight="1" x14ac:dyDescent="0.25">
      <c r="A476" s="29" t="s">
        <v>729</v>
      </c>
      <c r="B476" s="83" t="s">
        <v>51</v>
      </c>
      <c r="C476" s="98">
        <v>87882</v>
      </c>
      <c r="D476" s="99" t="s">
        <v>15</v>
      </c>
      <c r="E476" s="46">
        <f>E461</f>
        <v>6.8</v>
      </c>
      <c r="F476" s="236"/>
      <c r="G476" s="24">
        <f t="shared" si="48"/>
        <v>0</v>
      </c>
      <c r="H476" s="24">
        <f t="shared" si="49"/>
        <v>0</v>
      </c>
      <c r="I476" s="2"/>
      <c r="M476" s="94"/>
      <c r="N476" s="13"/>
    </row>
    <row r="477" spans="1:14" ht="60" x14ac:dyDescent="0.25">
      <c r="A477" s="29" t="s">
        <v>730</v>
      </c>
      <c r="B477" s="83" t="s">
        <v>52</v>
      </c>
      <c r="C477" s="98">
        <v>87411</v>
      </c>
      <c r="D477" s="99" t="s">
        <v>15</v>
      </c>
      <c r="E477" s="46">
        <f>E476</f>
        <v>6.8</v>
      </c>
      <c r="F477" s="236"/>
      <c r="G477" s="24">
        <f t="shared" si="48"/>
        <v>0</v>
      </c>
      <c r="H477" s="24">
        <f t="shared" si="49"/>
        <v>0</v>
      </c>
      <c r="I477" s="2"/>
      <c r="M477" s="94"/>
      <c r="N477" s="13"/>
    </row>
    <row r="478" spans="1:14" ht="30" x14ac:dyDescent="0.25">
      <c r="A478" s="29" t="s">
        <v>731</v>
      </c>
      <c r="B478" s="95" t="s">
        <v>53</v>
      </c>
      <c r="C478" s="51">
        <v>88484</v>
      </c>
      <c r="D478" s="97" t="s">
        <v>15</v>
      </c>
      <c r="E478" s="46">
        <f>E476</f>
        <v>6.8</v>
      </c>
      <c r="F478" s="235"/>
      <c r="G478" s="24">
        <f t="shared" si="48"/>
        <v>0</v>
      </c>
      <c r="H478" s="24">
        <f t="shared" si="49"/>
        <v>0</v>
      </c>
      <c r="I478" s="2"/>
      <c r="M478" s="94"/>
      <c r="N478" s="13"/>
    </row>
    <row r="479" spans="1:14" ht="29.25" customHeight="1" x14ac:dyDescent="0.25">
      <c r="A479" s="29" t="s">
        <v>732</v>
      </c>
      <c r="B479" s="95" t="s">
        <v>745</v>
      </c>
      <c r="C479" s="51">
        <v>88488</v>
      </c>
      <c r="D479" s="97" t="s">
        <v>15</v>
      </c>
      <c r="E479" s="46">
        <f>E476</f>
        <v>6.8</v>
      </c>
      <c r="F479" s="236"/>
      <c r="G479" s="24">
        <f t="shared" si="48"/>
        <v>0</v>
      </c>
      <c r="H479" s="24">
        <f t="shared" si="49"/>
        <v>0</v>
      </c>
      <c r="I479" s="2"/>
      <c r="M479" s="94"/>
      <c r="N479" s="13"/>
    </row>
    <row r="480" spans="1:14" ht="30" x14ac:dyDescent="0.25">
      <c r="A480" s="29" t="s">
        <v>733</v>
      </c>
      <c r="B480" s="95" t="s">
        <v>121</v>
      </c>
      <c r="C480" s="51">
        <v>98689</v>
      </c>
      <c r="D480" s="97" t="s">
        <v>18</v>
      </c>
      <c r="E480" s="46">
        <v>0.8</v>
      </c>
      <c r="F480" s="235"/>
      <c r="G480" s="24">
        <f t="shared" si="48"/>
        <v>0</v>
      </c>
      <c r="H480" s="24">
        <f t="shared" si="49"/>
        <v>0</v>
      </c>
      <c r="I480" s="2"/>
      <c r="M480" s="94"/>
      <c r="N480" s="13"/>
    </row>
    <row r="481" spans="1:14" ht="60" x14ac:dyDescent="0.25">
      <c r="A481" s="29" t="s">
        <v>734</v>
      </c>
      <c r="B481" s="95" t="s">
        <v>122</v>
      </c>
      <c r="C481" s="51">
        <v>101965</v>
      </c>
      <c r="D481" s="97" t="s">
        <v>18</v>
      </c>
      <c r="E481" s="46">
        <v>1.55</v>
      </c>
      <c r="F481" s="235"/>
      <c r="G481" s="24">
        <f t="shared" si="48"/>
        <v>0</v>
      </c>
      <c r="H481" s="24">
        <f t="shared" si="49"/>
        <v>0</v>
      </c>
      <c r="M481" s="94"/>
      <c r="N481" s="13"/>
    </row>
    <row r="482" spans="1:14" ht="30" x14ac:dyDescent="0.25">
      <c r="A482" s="29" t="s">
        <v>735</v>
      </c>
      <c r="B482" s="95" t="s">
        <v>162</v>
      </c>
      <c r="C482" s="51" t="s">
        <v>744</v>
      </c>
      <c r="D482" s="97" t="s">
        <v>8</v>
      </c>
      <c r="E482" s="46">
        <v>8</v>
      </c>
      <c r="F482" s="235"/>
      <c r="G482" s="24">
        <f t="shared" si="48"/>
        <v>0</v>
      </c>
      <c r="H482" s="24">
        <f t="shared" si="49"/>
        <v>0</v>
      </c>
      <c r="M482" s="94"/>
      <c r="N482" s="13"/>
    </row>
    <row r="483" spans="1:14" ht="60" x14ac:dyDescent="0.25">
      <c r="A483" s="29" t="s">
        <v>736</v>
      </c>
      <c r="B483" s="95" t="s">
        <v>54</v>
      </c>
      <c r="C483" s="51">
        <v>97583</v>
      </c>
      <c r="D483" s="97" t="s">
        <v>8</v>
      </c>
      <c r="E483" s="46">
        <v>1</v>
      </c>
      <c r="F483" s="235"/>
      <c r="G483" s="24">
        <f t="shared" si="48"/>
        <v>0</v>
      </c>
      <c r="H483" s="24">
        <f t="shared" si="49"/>
        <v>0</v>
      </c>
      <c r="M483" s="94"/>
      <c r="N483" s="13"/>
    </row>
    <row r="484" spans="1:14" ht="60" x14ac:dyDescent="0.25">
      <c r="A484" s="29" t="s">
        <v>737</v>
      </c>
      <c r="B484" s="95" t="s">
        <v>126</v>
      </c>
      <c r="C484" s="51">
        <v>89708</v>
      </c>
      <c r="D484" s="97" t="s">
        <v>8</v>
      </c>
      <c r="E484" s="46">
        <v>1</v>
      </c>
      <c r="F484" s="235"/>
      <c r="G484" s="24">
        <f t="shared" si="48"/>
        <v>0</v>
      </c>
      <c r="H484" s="24">
        <f t="shared" si="49"/>
        <v>0</v>
      </c>
      <c r="M484" s="94"/>
      <c r="N484" s="13"/>
    </row>
    <row r="485" spans="1:14" ht="30" x14ac:dyDescent="0.25">
      <c r="A485" s="29" t="s">
        <v>738</v>
      </c>
      <c r="B485" s="95" t="s">
        <v>90</v>
      </c>
      <c r="C485" s="98">
        <v>99814</v>
      </c>
      <c r="D485" s="97" t="s">
        <v>15</v>
      </c>
      <c r="E485" s="46">
        <f>E461</f>
        <v>6.8</v>
      </c>
      <c r="F485" s="235"/>
      <c r="G485" s="24">
        <f t="shared" si="48"/>
        <v>0</v>
      </c>
      <c r="H485" s="24">
        <f t="shared" si="49"/>
        <v>0</v>
      </c>
      <c r="M485" s="94"/>
      <c r="N485" s="13"/>
    </row>
    <row r="486" spans="1:14" ht="13.9" customHeight="1" x14ac:dyDescent="0.25"/>
  </sheetData>
  <mergeCells count="11">
    <mergeCell ref="A8:G8"/>
    <mergeCell ref="A1:H1"/>
    <mergeCell ref="A2:H2"/>
    <mergeCell ref="A3:H3"/>
    <mergeCell ref="A4:H4"/>
    <mergeCell ref="A6:A7"/>
    <mergeCell ref="B6:B7"/>
    <mergeCell ref="D6:D7"/>
    <mergeCell ref="E6:E7"/>
    <mergeCell ref="F6:G6"/>
    <mergeCell ref="B5:F5"/>
  </mergeCells>
  <printOptions horizontalCentered="1"/>
  <pageMargins left="0.39370078740157483" right="0.51181102362204722" top="0.39370078740157483" bottom="0.39370078740157483" header="0.51181102362204722" footer="0.51181102362204722"/>
  <pageSetup paperSize="9" scale="77" firstPageNumber="0" fitToHeight="25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5"/>
  <sheetViews>
    <sheetView view="pageBreakPreview" zoomScale="115" zoomScaleNormal="115" zoomScaleSheetLayoutView="115" workbookViewId="0">
      <pane xSplit="2" ySplit="7" topLeftCell="C8" activePane="bottomRight" state="frozen"/>
      <selection activeCell="D19" sqref="D19"/>
      <selection pane="topRight" activeCell="D19" sqref="D19"/>
      <selection pane="bottomLeft" activeCell="D19" sqref="D19"/>
      <selection pane="bottomRight" activeCell="A4" sqref="A4:U4"/>
    </sheetView>
  </sheetViews>
  <sheetFormatPr defaultRowHeight="15" x14ac:dyDescent="0.25"/>
  <cols>
    <col min="1" max="1" width="6" style="106" bestFit="1" customWidth="1"/>
    <col min="2" max="2" width="26.85546875" style="106" customWidth="1"/>
    <col min="3" max="3" width="10.140625" style="106" bestFit="1" customWidth="1"/>
    <col min="4" max="4" width="8" style="106" bestFit="1" customWidth="1"/>
    <col min="5" max="6" width="5.140625" style="106" customWidth="1"/>
    <col min="7" max="8" width="5.28515625" style="106" customWidth="1"/>
    <col min="9" max="10" width="5.140625" style="106" customWidth="1"/>
    <col min="11" max="12" width="5.5703125" style="106" customWidth="1"/>
    <col min="13" max="14" width="5.85546875" style="106" customWidth="1"/>
    <col min="15" max="20" width="6.140625" style="106" customWidth="1"/>
    <col min="21" max="21" width="10.140625" style="106" bestFit="1" customWidth="1"/>
    <col min="22" max="22" width="11" style="105" customWidth="1"/>
    <col min="23" max="16384" width="9.140625" style="106"/>
  </cols>
  <sheetData>
    <row r="1" spans="1:23" ht="21" x14ac:dyDescent="0.25">
      <c r="A1" s="210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2"/>
    </row>
    <row r="2" spans="1:23" ht="15.75" x14ac:dyDescent="0.25">
      <c r="A2" s="213" t="s">
        <v>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5"/>
    </row>
    <row r="3" spans="1:23" x14ac:dyDescent="0.25">
      <c r="A3" s="216" t="s">
        <v>2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8"/>
    </row>
    <row r="4" spans="1:23" x14ac:dyDescent="0.25">
      <c r="A4" s="219" t="s">
        <v>807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3" ht="15" customHeight="1" thickBot="1" x14ac:dyDescent="0.3">
      <c r="A5" s="131" t="s">
        <v>3</v>
      </c>
      <c r="B5" s="225" t="s">
        <v>809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6"/>
      <c r="S5" s="222" t="s">
        <v>804</v>
      </c>
      <c r="T5" s="223"/>
      <c r="U5" s="224"/>
    </row>
    <row r="6" spans="1:23" ht="15" customHeight="1" x14ac:dyDescent="0.25">
      <c r="A6" s="206" t="s">
        <v>783</v>
      </c>
      <c r="B6" s="208" t="s">
        <v>784</v>
      </c>
      <c r="C6" s="208" t="s">
        <v>785</v>
      </c>
      <c r="D6" s="208" t="s">
        <v>786</v>
      </c>
      <c r="E6" s="204" t="s">
        <v>787</v>
      </c>
      <c r="F6" s="204"/>
      <c r="G6" s="204" t="s">
        <v>788</v>
      </c>
      <c r="H6" s="204"/>
      <c r="I6" s="204" t="s">
        <v>789</v>
      </c>
      <c r="J6" s="204"/>
      <c r="K6" s="204" t="s">
        <v>790</v>
      </c>
      <c r="L6" s="204"/>
      <c r="M6" s="204" t="s">
        <v>791</v>
      </c>
      <c r="N6" s="204"/>
      <c r="O6" s="204" t="s">
        <v>792</v>
      </c>
      <c r="P6" s="204"/>
      <c r="Q6" s="204" t="s">
        <v>793</v>
      </c>
      <c r="R6" s="204"/>
      <c r="S6" s="204" t="s">
        <v>794</v>
      </c>
      <c r="T6" s="204"/>
      <c r="U6" s="227" t="s">
        <v>795</v>
      </c>
    </row>
    <row r="7" spans="1:23" ht="15.75" thickBot="1" x14ac:dyDescent="0.3">
      <c r="A7" s="207"/>
      <c r="B7" s="209"/>
      <c r="C7" s="209"/>
      <c r="D7" s="209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28"/>
      <c r="W7" s="107"/>
    </row>
    <row r="8" spans="1:23" x14ac:dyDescent="0.25">
      <c r="A8" s="166">
        <v>1</v>
      </c>
      <c r="B8" s="169" t="s">
        <v>13</v>
      </c>
      <c r="C8" s="109"/>
      <c r="D8" s="110" t="s">
        <v>796</v>
      </c>
      <c r="E8" s="202"/>
      <c r="F8" s="203"/>
      <c r="G8" s="200"/>
      <c r="H8" s="201"/>
      <c r="I8" s="200"/>
      <c r="J8" s="201"/>
      <c r="K8" s="200"/>
      <c r="L8" s="201"/>
      <c r="M8" s="200"/>
      <c r="N8" s="201"/>
      <c r="O8" s="200"/>
      <c r="P8" s="201"/>
      <c r="Q8" s="200"/>
      <c r="R8" s="201"/>
      <c r="S8" s="200"/>
      <c r="T8" s="201"/>
      <c r="U8" s="111"/>
    </row>
    <row r="9" spans="1:23" x14ac:dyDescent="0.25">
      <c r="A9" s="166"/>
      <c r="B9" s="169"/>
      <c r="C9" s="132" t="e">
        <f>C10/C$47</f>
        <v>#DIV/0!</v>
      </c>
      <c r="D9" s="133" t="s">
        <v>797</v>
      </c>
      <c r="E9" s="178">
        <v>1</v>
      </c>
      <c r="F9" s="179"/>
      <c r="G9" s="176"/>
      <c r="H9" s="177"/>
      <c r="I9" s="176"/>
      <c r="J9" s="177"/>
      <c r="K9" s="176"/>
      <c r="L9" s="177"/>
      <c r="M9" s="176"/>
      <c r="N9" s="177"/>
      <c r="O9" s="176"/>
      <c r="P9" s="177"/>
      <c r="Q9" s="176"/>
      <c r="R9" s="177"/>
      <c r="S9" s="176"/>
      <c r="T9" s="177"/>
      <c r="U9" s="112">
        <f>SUM(E9:T9)</f>
        <v>1</v>
      </c>
    </row>
    <row r="10" spans="1:23" ht="15.75" thickBot="1" x14ac:dyDescent="0.3">
      <c r="A10" s="167"/>
      <c r="B10" s="170"/>
      <c r="C10" s="113">
        <f>PLANILHA!H9</f>
        <v>0</v>
      </c>
      <c r="D10" s="114" t="s">
        <v>798</v>
      </c>
      <c r="E10" s="148">
        <f>E9*$C10</f>
        <v>0</v>
      </c>
      <c r="F10" s="149"/>
      <c r="G10" s="163"/>
      <c r="H10" s="164"/>
      <c r="I10" s="163"/>
      <c r="J10" s="164"/>
      <c r="K10" s="163"/>
      <c r="L10" s="164"/>
      <c r="M10" s="163"/>
      <c r="N10" s="164"/>
      <c r="O10" s="163"/>
      <c r="P10" s="164"/>
      <c r="Q10" s="163"/>
      <c r="R10" s="164"/>
      <c r="S10" s="163"/>
      <c r="T10" s="164"/>
      <c r="U10" s="115">
        <f>SUM(E10:T10)</f>
        <v>0</v>
      </c>
      <c r="V10" s="116"/>
    </row>
    <row r="11" spans="1:23" x14ac:dyDescent="0.25">
      <c r="A11" s="165">
        <v>2</v>
      </c>
      <c r="B11" s="168" t="s">
        <v>23</v>
      </c>
      <c r="C11" s="117"/>
      <c r="D11" s="118" t="s">
        <v>796</v>
      </c>
      <c r="E11" s="188"/>
      <c r="F11" s="189"/>
      <c r="G11" s="188"/>
      <c r="H11" s="189"/>
      <c r="I11" s="188"/>
      <c r="J11" s="189"/>
      <c r="K11" s="188"/>
      <c r="L11" s="189"/>
      <c r="M11" s="188"/>
      <c r="N11" s="189"/>
      <c r="O11" s="188"/>
      <c r="P11" s="189"/>
      <c r="Q11" s="188"/>
      <c r="R11" s="189"/>
      <c r="S11" s="188"/>
      <c r="T11" s="189"/>
      <c r="U11" s="119"/>
    </row>
    <row r="12" spans="1:23" ht="15" customHeight="1" x14ac:dyDescent="0.25">
      <c r="A12" s="166"/>
      <c r="B12" s="169"/>
      <c r="C12" s="132" t="e">
        <f>C13/C$47</f>
        <v>#DIV/0!</v>
      </c>
      <c r="D12" s="133" t="s">
        <v>797</v>
      </c>
      <c r="E12" s="176">
        <v>0.18026762703776891</v>
      </c>
      <c r="F12" s="177"/>
      <c r="G12" s="176">
        <v>0.11653362532414246</v>
      </c>
      <c r="H12" s="177"/>
      <c r="I12" s="176">
        <v>0.13606621597394761</v>
      </c>
      <c r="J12" s="177"/>
      <c r="K12" s="176">
        <v>0.11063573556937814</v>
      </c>
      <c r="L12" s="177"/>
      <c r="M12" s="176">
        <v>0.12730580722862295</v>
      </c>
      <c r="N12" s="177"/>
      <c r="O12" s="176">
        <v>0.12927146885061377</v>
      </c>
      <c r="P12" s="177"/>
      <c r="Q12" s="176">
        <v>0.11338450119776897</v>
      </c>
      <c r="R12" s="177"/>
      <c r="S12" s="176">
        <v>8.6535018817757131E-2</v>
      </c>
      <c r="T12" s="177"/>
      <c r="U12" s="112">
        <f>SUM(E12:T12)</f>
        <v>1</v>
      </c>
    </row>
    <row r="13" spans="1:23" ht="15.75" thickBot="1" x14ac:dyDescent="0.3">
      <c r="A13" s="167"/>
      <c r="B13" s="170"/>
      <c r="C13" s="113">
        <f>PLANILHA!H15</f>
        <v>0</v>
      </c>
      <c r="D13" s="114" t="s">
        <v>798</v>
      </c>
      <c r="E13" s="148">
        <f>E12*$C13</f>
        <v>0</v>
      </c>
      <c r="F13" s="149"/>
      <c r="G13" s="148">
        <f t="shared" ref="G13" si="0">G12*$C13</f>
        <v>0</v>
      </c>
      <c r="H13" s="149"/>
      <c r="I13" s="148">
        <f t="shared" ref="I13" si="1">I12*$C13</f>
        <v>0</v>
      </c>
      <c r="J13" s="149"/>
      <c r="K13" s="148">
        <f t="shared" ref="K13" si="2">K12*$C13</f>
        <v>0</v>
      </c>
      <c r="L13" s="149"/>
      <c r="M13" s="148">
        <f t="shared" ref="M13" si="3">M12*$C13</f>
        <v>0</v>
      </c>
      <c r="N13" s="149"/>
      <c r="O13" s="148">
        <f t="shared" ref="O13" si="4">O12*$C13</f>
        <v>0</v>
      </c>
      <c r="P13" s="149"/>
      <c r="Q13" s="148">
        <f t="shared" ref="Q13" si="5">Q12*$C13</f>
        <v>0</v>
      </c>
      <c r="R13" s="149"/>
      <c r="S13" s="148">
        <f t="shared" ref="S13" si="6">S12*$C13</f>
        <v>0</v>
      </c>
      <c r="T13" s="149"/>
      <c r="U13" s="115">
        <f>SUM(E13:T13)</f>
        <v>0</v>
      </c>
      <c r="V13" s="116"/>
    </row>
    <row r="14" spans="1:23" x14ac:dyDescent="0.25">
      <c r="A14" s="165">
        <v>3</v>
      </c>
      <c r="B14" s="168" t="s">
        <v>385</v>
      </c>
      <c r="C14" s="117"/>
      <c r="D14" s="118" t="s">
        <v>796</v>
      </c>
      <c r="E14" s="150"/>
      <c r="F14" s="151"/>
      <c r="G14" s="150"/>
      <c r="H14" s="151"/>
      <c r="I14" s="150"/>
      <c r="J14" s="151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19"/>
    </row>
    <row r="15" spans="1:23" x14ac:dyDescent="0.25">
      <c r="A15" s="166"/>
      <c r="B15" s="169"/>
      <c r="C15" s="132" t="e">
        <f>C16/C$47</f>
        <v>#DIV/0!</v>
      </c>
      <c r="D15" s="133" t="s">
        <v>797</v>
      </c>
      <c r="E15" s="178">
        <v>0.4</v>
      </c>
      <c r="F15" s="179"/>
      <c r="G15" s="178">
        <v>0.3</v>
      </c>
      <c r="H15" s="179"/>
      <c r="I15" s="178">
        <v>0.3</v>
      </c>
      <c r="J15" s="179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12">
        <f>SUM(E15:T15)</f>
        <v>1</v>
      </c>
    </row>
    <row r="16" spans="1:23" ht="15.75" thickBot="1" x14ac:dyDescent="0.3">
      <c r="A16" s="167"/>
      <c r="B16" s="170"/>
      <c r="C16" s="113">
        <f>PLANILHA!H17</f>
        <v>0</v>
      </c>
      <c r="D16" s="114" t="s">
        <v>798</v>
      </c>
      <c r="E16" s="148">
        <f>E15*$C16</f>
        <v>0</v>
      </c>
      <c r="F16" s="149"/>
      <c r="G16" s="148">
        <f>G15*$C16</f>
        <v>0</v>
      </c>
      <c r="H16" s="149"/>
      <c r="I16" s="148">
        <f>I15*$C16</f>
        <v>0</v>
      </c>
      <c r="J16" s="149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15">
        <f>SUM(E16:T16)</f>
        <v>0</v>
      </c>
      <c r="V16" s="116"/>
    </row>
    <row r="17" spans="1:22" x14ac:dyDescent="0.25">
      <c r="A17" s="195" t="s">
        <v>805</v>
      </c>
      <c r="B17" s="168" t="s">
        <v>387</v>
      </c>
      <c r="C17" s="117"/>
      <c r="D17" s="118" t="s">
        <v>796</v>
      </c>
      <c r="E17" s="180"/>
      <c r="F17" s="181"/>
      <c r="G17" s="180"/>
      <c r="H17" s="181"/>
      <c r="I17" s="198"/>
      <c r="J17" s="199"/>
      <c r="K17" s="198"/>
      <c r="L17" s="199"/>
      <c r="M17" s="198"/>
      <c r="N17" s="199"/>
      <c r="O17" s="198"/>
      <c r="P17" s="199"/>
      <c r="Q17" s="198"/>
      <c r="R17" s="199"/>
      <c r="S17" s="198"/>
      <c r="T17" s="199"/>
      <c r="U17" s="119"/>
    </row>
    <row r="18" spans="1:22" x14ac:dyDescent="0.25">
      <c r="A18" s="196"/>
      <c r="B18" s="169"/>
      <c r="C18" s="132" t="e">
        <f>C19/C$47</f>
        <v>#DIV/0!</v>
      </c>
      <c r="D18" s="133" t="s">
        <v>797</v>
      </c>
      <c r="E18" s="176"/>
      <c r="F18" s="177"/>
      <c r="G18" s="176"/>
      <c r="H18" s="177"/>
      <c r="I18" s="178">
        <v>0.15</v>
      </c>
      <c r="J18" s="179"/>
      <c r="K18" s="178">
        <v>0.2</v>
      </c>
      <c r="L18" s="179"/>
      <c r="M18" s="178">
        <v>0.2</v>
      </c>
      <c r="N18" s="179"/>
      <c r="O18" s="178">
        <v>0.15</v>
      </c>
      <c r="P18" s="179"/>
      <c r="Q18" s="178">
        <v>0.15</v>
      </c>
      <c r="R18" s="179"/>
      <c r="S18" s="178">
        <v>0.15</v>
      </c>
      <c r="T18" s="179"/>
      <c r="U18" s="112">
        <f>SUM(E18:T18)</f>
        <v>1</v>
      </c>
    </row>
    <row r="19" spans="1:22" ht="15.75" thickBot="1" x14ac:dyDescent="0.3">
      <c r="A19" s="197"/>
      <c r="B19" s="170"/>
      <c r="C19" s="113">
        <f>PLANILHA!H53</f>
        <v>0</v>
      </c>
      <c r="D19" s="114" t="s">
        <v>798</v>
      </c>
      <c r="E19" s="163"/>
      <c r="F19" s="164"/>
      <c r="G19" s="163"/>
      <c r="H19" s="164"/>
      <c r="I19" s="148">
        <f t="shared" ref="I19" si="7">I18*$C19</f>
        <v>0</v>
      </c>
      <c r="J19" s="149"/>
      <c r="K19" s="148">
        <f t="shared" ref="K19" si="8">K18*$C19</f>
        <v>0</v>
      </c>
      <c r="L19" s="149"/>
      <c r="M19" s="148">
        <f t="shared" ref="M19:O19" si="9">M18*$C19</f>
        <v>0</v>
      </c>
      <c r="N19" s="149"/>
      <c r="O19" s="148">
        <f t="shared" si="9"/>
        <v>0</v>
      </c>
      <c r="P19" s="149"/>
      <c r="Q19" s="148">
        <f t="shared" ref="Q19:S19" si="10">Q18*$C19</f>
        <v>0</v>
      </c>
      <c r="R19" s="149"/>
      <c r="S19" s="148">
        <f t="shared" si="10"/>
        <v>0</v>
      </c>
      <c r="T19" s="149"/>
      <c r="U19" s="115">
        <f>SUM(E19:T19)</f>
        <v>0</v>
      </c>
      <c r="V19" s="116"/>
    </row>
    <row r="20" spans="1:22" x14ac:dyDescent="0.25">
      <c r="A20" s="165">
        <v>5</v>
      </c>
      <c r="B20" s="168" t="s">
        <v>44</v>
      </c>
      <c r="C20" s="117"/>
      <c r="D20" s="118" t="s">
        <v>796</v>
      </c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50"/>
      <c r="P20" s="151"/>
      <c r="Q20" s="174"/>
      <c r="R20" s="174"/>
      <c r="S20" s="180"/>
      <c r="T20" s="181"/>
      <c r="U20" s="119"/>
    </row>
    <row r="21" spans="1:22" x14ac:dyDescent="0.25">
      <c r="A21" s="166"/>
      <c r="B21" s="169"/>
      <c r="C21" s="132" t="e">
        <f>C22/C$47</f>
        <v>#DIV/0!</v>
      </c>
      <c r="D21" s="133" t="s">
        <v>797</v>
      </c>
      <c r="E21" s="175"/>
      <c r="F21" s="175"/>
      <c r="G21" s="175"/>
      <c r="H21" s="175"/>
      <c r="I21" s="175"/>
      <c r="J21" s="175"/>
      <c r="K21" s="175"/>
      <c r="L21" s="175"/>
      <c r="M21" s="185"/>
      <c r="N21" s="185"/>
      <c r="O21" s="178">
        <v>1</v>
      </c>
      <c r="P21" s="179"/>
      <c r="Q21" s="185"/>
      <c r="R21" s="185"/>
      <c r="S21" s="176"/>
      <c r="T21" s="177"/>
      <c r="U21" s="112">
        <f>SUM(E21:T21)</f>
        <v>1</v>
      </c>
    </row>
    <row r="22" spans="1:22" ht="15.75" thickBot="1" x14ac:dyDescent="0.3">
      <c r="A22" s="167"/>
      <c r="B22" s="170"/>
      <c r="C22" s="113">
        <f>PLANILHA!H60</f>
        <v>0</v>
      </c>
      <c r="D22" s="114" t="s">
        <v>798</v>
      </c>
      <c r="E22" s="182"/>
      <c r="F22" s="182"/>
      <c r="G22" s="182"/>
      <c r="H22" s="182"/>
      <c r="I22" s="182"/>
      <c r="J22" s="182"/>
      <c r="K22" s="182"/>
      <c r="L22" s="182"/>
      <c r="M22" s="186"/>
      <c r="N22" s="186"/>
      <c r="O22" s="148">
        <f t="shared" ref="O22" si="11">O21*$C22</f>
        <v>0</v>
      </c>
      <c r="P22" s="149"/>
      <c r="Q22" s="186"/>
      <c r="R22" s="186"/>
      <c r="S22" s="163"/>
      <c r="T22" s="164"/>
      <c r="U22" s="115">
        <f>SUM(E22:T22)</f>
        <v>0</v>
      </c>
      <c r="V22" s="116"/>
    </row>
    <row r="23" spans="1:22" x14ac:dyDescent="0.25">
      <c r="A23" s="165">
        <v>6</v>
      </c>
      <c r="B23" s="168" t="s">
        <v>386</v>
      </c>
      <c r="C23" s="120"/>
      <c r="D23" s="118" t="s">
        <v>796</v>
      </c>
      <c r="E23" s="190"/>
      <c r="F23" s="190"/>
      <c r="G23" s="191"/>
      <c r="H23" s="192"/>
      <c r="I23" s="191"/>
      <c r="J23" s="192"/>
      <c r="K23" s="193"/>
      <c r="L23" s="194"/>
      <c r="M23" s="193"/>
      <c r="N23" s="194"/>
      <c r="O23" s="191"/>
      <c r="P23" s="192"/>
      <c r="Q23" s="191"/>
      <c r="R23" s="192"/>
      <c r="S23" s="191"/>
      <c r="T23" s="192"/>
      <c r="U23" s="121"/>
    </row>
    <row r="24" spans="1:22" x14ac:dyDescent="0.25">
      <c r="A24" s="166"/>
      <c r="B24" s="169"/>
      <c r="C24" s="132" t="e">
        <f>C25/C$47</f>
        <v>#DIV/0!</v>
      </c>
      <c r="D24" s="133" t="s">
        <v>797</v>
      </c>
      <c r="E24" s="175"/>
      <c r="F24" s="175"/>
      <c r="G24" s="176"/>
      <c r="H24" s="177"/>
      <c r="I24" s="176"/>
      <c r="J24" s="177"/>
      <c r="K24" s="178">
        <v>0.5</v>
      </c>
      <c r="L24" s="179"/>
      <c r="M24" s="178">
        <v>0.5</v>
      </c>
      <c r="N24" s="179"/>
      <c r="O24" s="176"/>
      <c r="P24" s="177"/>
      <c r="Q24" s="176"/>
      <c r="R24" s="177"/>
      <c r="S24" s="176"/>
      <c r="T24" s="177"/>
      <c r="U24" s="112">
        <f>SUM(E24:T24)</f>
        <v>1</v>
      </c>
    </row>
    <row r="25" spans="1:22" ht="15.75" thickBot="1" x14ac:dyDescent="0.3">
      <c r="A25" s="167"/>
      <c r="B25" s="170"/>
      <c r="C25" s="113">
        <f>PLANILHA!H66</f>
        <v>0</v>
      </c>
      <c r="D25" s="114" t="s">
        <v>798</v>
      </c>
      <c r="E25" s="182"/>
      <c r="F25" s="182"/>
      <c r="G25" s="163"/>
      <c r="H25" s="164"/>
      <c r="I25" s="163"/>
      <c r="J25" s="164"/>
      <c r="K25" s="148">
        <f t="shared" ref="K25:M25" si="12">K24*$C25</f>
        <v>0</v>
      </c>
      <c r="L25" s="149"/>
      <c r="M25" s="148">
        <f t="shared" si="12"/>
        <v>0</v>
      </c>
      <c r="N25" s="149"/>
      <c r="O25" s="163"/>
      <c r="P25" s="164"/>
      <c r="Q25" s="163"/>
      <c r="R25" s="164"/>
      <c r="S25" s="163"/>
      <c r="T25" s="164"/>
      <c r="U25" s="115">
        <f>SUM(E25:T25)</f>
        <v>0</v>
      </c>
      <c r="V25" s="116"/>
    </row>
    <row r="26" spans="1:22" x14ac:dyDescent="0.25">
      <c r="A26" s="165">
        <v>7</v>
      </c>
      <c r="B26" s="168" t="s">
        <v>61</v>
      </c>
      <c r="C26" s="117"/>
      <c r="D26" s="118" t="s">
        <v>796</v>
      </c>
      <c r="E26" s="174"/>
      <c r="F26" s="174"/>
      <c r="G26" s="174"/>
      <c r="H26" s="174"/>
      <c r="I26" s="174"/>
      <c r="J26" s="174"/>
      <c r="K26" s="174"/>
      <c r="L26" s="174"/>
      <c r="M26" s="188"/>
      <c r="N26" s="189"/>
      <c r="O26" s="188"/>
      <c r="P26" s="189"/>
      <c r="Q26" s="180"/>
      <c r="R26" s="181"/>
      <c r="S26" s="180"/>
      <c r="T26" s="181"/>
      <c r="U26" s="119"/>
    </row>
    <row r="27" spans="1:22" x14ac:dyDescent="0.25">
      <c r="A27" s="166"/>
      <c r="B27" s="169"/>
      <c r="C27" s="132" t="e">
        <f>C28/C$47</f>
        <v>#DIV/0!</v>
      </c>
      <c r="D27" s="133" t="s">
        <v>797</v>
      </c>
      <c r="E27" s="175"/>
      <c r="F27" s="175"/>
      <c r="G27" s="175"/>
      <c r="H27" s="175"/>
      <c r="I27" s="175"/>
      <c r="J27" s="175"/>
      <c r="K27" s="175"/>
      <c r="L27" s="175"/>
      <c r="M27" s="178">
        <v>0.5</v>
      </c>
      <c r="N27" s="179"/>
      <c r="O27" s="178">
        <v>0.5</v>
      </c>
      <c r="P27" s="179"/>
      <c r="Q27" s="176"/>
      <c r="R27" s="177"/>
      <c r="S27" s="176"/>
      <c r="T27" s="177"/>
      <c r="U27" s="112">
        <f>SUM(E27:T27)</f>
        <v>1</v>
      </c>
    </row>
    <row r="28" spans="1:22" ht="15.75" thickBot="1" x14ac:dyDescent="0.3">
      <c r="A28" s="167"/>
      <c r="B28" s="170"/>
      <c r="C28" s="113">
        <f>PLANILHA!H70</f>
        <v>0</v>
      </c>
      <c r="D28" s="114" t="s">
        <v>798</v>
      </c>
      <c r="E28" s="182"/>
      <c r="F28" s="182"/>
      <c r="G28" s="182"/>
      <c r="H28" s="182"/>
      <c r="I28" s="182"/>
      <c r="J28" s="182"/>
      <c r="K28" s="182"/>
      <c r="L28" s="182"/>
      <c r="M28" s="148">
        <f t="shared" ref="M28:O28" si="13">M27*$C28</f>
        <v>0</v>
      </c>
      <c r="N28" s="149"/>
      <c r="O28" s="148">
        <f t="shared" si="13"/>
        <v>0</v>
      </c>
      <c r="P28" s="149"/>
      <c r="Q28" s="163"/>
      <c r="R28" s="164"/>
      <c r="S28" s="163"/>
      <c r="T28" s="164"/>
      <c r="U28" s="115">
        <f>SUM(E28:T28)</f>
        <v>0</v>
      </c>
      <c r="V28" s="116"/>
    </row>
    <row r="29" spans="1:22" x14ac:dyDescent="0.25">
      <c r="A29" s="165">
        <v>8</v>
      </c>
      <c r="B29" s="168" t="s">
        <v>83</v>
      </c>
      <c r="C29" s="117"/>
      <c r="D29" s="118" t="s">
        <v>796</v>
      </c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87"/>
      <c r="R29" s="187"/>
      <c r="S29" s="174"/>
      <c r="T29" s="174"/>
      <c r="U29" s="119"/>
    </row>
    <row r="30" spans="1:22" x14ac:dyDescent="0.25">
      <c r="A30" s="166"/>
      <c r="B30" s="169"/>
      <c r="C30" s="132" t="e">
        <f>C31/C$47</f>
        <v>#DIV/0!</v>
      </c>
      <c r="D30" s="133" t="s">
        <v>797</v>
      </c>
      <c r="E30" s="185"/>
      <c r="F30" s="18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>
        <v>1</v>
      </c>
      <c r="R30" s="175"/>
      <c r="S30" s="185"/>
      <c r="T30" s="185"/>
      <c r="U30" s="112">
        <f>SUM(E30:T30)</f>
        <v>1</v>
      </c>
    </row>
    <row r="31" spans="1:22" ht="15.75" thickBot="1" x14ac:dyDescent="0.3">
      <c r="A31" s="167"/>
      <c r="B31" s="170"/>
      <c r="C31" s="113">
        <f>PLANILHA!H83</f>
        <v>0</v>
      </c>
      <c r="D31" s="114" t="s">
        <v>798</v>
      </c>
      <c r="E31" s="186"/>
      <c r="F31" s="186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>
        <f>Q30*$C31</f>
        <v>0</v>
      </c>
      <c r="R31" s="182">
        <v>0</v>
      </c>
      <c r="S31" s="186"/>
      <c r="T31" s="186"/>
      <c r="U31" s="115">
        <f>SUM(E31:T31)</f>
        <v>0</v>
      </c>
      <c r="V31" s="116"/>
    </row>
    <row r="32" spans="1:22" x14ac:dyDescent="0.25">
      <c r="A32" s="166">
        <v>9</v>
      </c>
      <c r="B32" s="169" t="s">
        <v>188</v>
      </c>
      <c r="C32" s="109"/>
      <c r="D32" s="110" t="s">
        <v>796</v>
      </c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3"/>
      <c r="P32" s="183"/>
      <c r="Q32" s="183"/>
      <c r="R32" s="183"/>
      <c r="S32" s="183"/>
      <c r="T32" s="183"/>
      <c r="U32" s="111"/>
    </row>
    <row r="33" spans="1:22" x14ac:dyDescent="0.25">
      <c r="A33" s="166"/>
      <c r="B33" s="169"/>
      <c r="C33" s="132" t="e">
        <f>C34/C$47</f>
        <v>#DIV/0!</v>
      </c>
      <c r="D33" s="133" t="s">
        <v>797</v>
      </c>
      <c r="E33" s="178">
        <v>2.5000000000000001E-2</v>
      </c>
      <c r="F33" s="179"/>
      <c r="G33" s="178">
        <v>0.15</v>
      </c>
      <c r="H33" s="179"/>
      <c r="I33" s="178">
        <v>0.15</v>
      </c>
      <c r="J33" s="179"/>
      <c r="K33" s="178">
        <v>0.15</v>
      </c>
      <c r="L33" s="179"/>
      <c r="M33" s="178">
        <v>0.15</v>
      </c>
      <c r="N33" s="179"/>
      <c r="O33" s="178">
        <f t="shared" ref="O33" si="14">1/8</f>
        <v>0.125</v>
      </c>
      <c r="P33" s="179"/>
      <c r="Q33" s="178">
        <f t="shared" ref="Q33" si="15">1/8</f>
        <v>0.125</v>
      </c>
      <c r="R33" s="179"/>
      <c r="S33" s="178">
        <f t="shared" ref="S33" si="16">1/8</f>
        <v>0.125</v>
      </c>
      <c r="T33" s="179"/>
      <c r="U33" s="112">
        <f>SUM(E33:T33)</f>
        <v>1</v>
      </c>
    </row>
    <row r="34" spans="1:22" ht="15.75" thickBot="1" x14ac:dyDescent="0.3">
      <c r="A34" s="166"/>
      <c r="B34" s="169"/>
      <c r="C34" s="113">
        <f>PLANILHA!H89</f>
        <v>0</v>
      </c>
      <c r="D34" s="134" t="s">
        <v>798</v>
      </c>
      <c r="E34" s="148">
        <f t="shared" ref="E34" si="17">E33*$C34</f>
        <v>0</v>
      </c>
      <c r="F34" s="149"/>
      <c r="G34" s="148">
        <f t="shared" ref="G34" si="18">G33*$C34</f>
        <v>0</v>
      </c>
      <c r="H34" s="149"/>
      <c r="I34" s="148">
        <f t="shared" ref="I34" si="19">I33*$C34</f>
        <v>0</v>
      </c>
      <c r="J34" s="149"/>
      <c r="K34" s="148">
        <f t="shared" ref="K34" si="20">K33*$C34</f>
        <v>0</v>
      </c>
      <c r="L34" s="149"/>
      <c r="M34" s="148">
        <f t="shared" ref="M34" si="21">M33*$C34</f>
        <v>0</v>
      </c>
      <c r="N34" s="149"/>
      <c r="O34" s="148">
        <f>O33*$C34</f>
        <v>0</v>
      </c>
      <c r="P34" s="149"/>
      <c r="Q34" s="148">
        <f>Q33*$C34</f>
        <v>0</v>
      </c>
      <c r="R34" s="149"/>
      <c r="S34" s="148">
        <f>S33*$C34</f>
        <v>0</v>
      </c>
      <c r="T34" s="149"/>
      <c r="U34" s="115">
        <f>SUM(E34:T34)</f>
        <v>0</v>
      </c>
      <c r="V34" s="116"/>
    </row>
    <row r="35" spans="1:22" x14ac:dyDescent="0.25">
      <c r="A35" s="165">
        <v>10</v>
      </c>
      <c r="B35" s="168" t="s">
        <v>322</v>
      </c>
      <c r="C35" s="117"/>
      <c r="D35" s="118" t="s">
        <v>796</v>
      </c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80"/>
      <c r="P35" s="181"/>
      <c r="Q35" s="150"/>
      <c r="R35" s="151"/>
      <c r="S35" s="180"/>
      <c r="T35" s="181"/>
      <c r="U35" s="119"/>
    </row>
    <row r="36" spans="1:22" x14ac:dyDescent="0.25">
      <c r="A36" s="166"/>
      <c r="B36" s="169"/>
      <c r="C36" s="132" t="e">
        <f>C37/C$47</f>
        <v>#DIV/0!</v>
      </c>
      <c r="D36" s="133" t="s">
        <v>797</v>
      </c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6"/>
      <c r="P36" s="177"/>
      <c r="Q36" s="178">
        <v>1</v>
      </c>
      <c r="R36" s="179"/>
      <c r="S36" s="176"/>
      <c r="T36" s="177"/>
      <c r="U36" s="112">
        <f>SUM(E36:T36)</f>
        <v>1</v>
      </c>
    </row>
    <row r="37" spans="1:22" ht="15.75" thickBot="1" x14ac:dyDescent="0.3">
      <c r="A37" s="167"/>
      <c r="B37" s="170"/>
      <c r="C37" s="113">
        <f>PLANILHA!H127</f>
        <v>0</v>
      </c>
      <c r="D37" s="114" t="s">
        <v>798</v>
      </c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63"/>
      <c r="P37" s="164"/>
      <c r="Q37" s="148">
        <f>Q36*$C37</f>
        <v>0</v>
      </c>
      <c r="R37" s="149"/>
      <c r="S37" s="163"/>
      <c r="T37" s="164"/>
      <c r="U37" s="115">
        <f>SUM(E37:T37)</f>
        <v>0</v>
      </c>
      <c r="V37" s="116"/>
    </row>
    <row r="38" spans="1:22" x14ac:dyDescent="0.25">
      <c r="A38" s="165">
        <v>11</v>
      </c>
      <c r="B38" s="168" t="s">
        <v>388</v>
      </c>
      <c r="C38" s="117"/>
      <c r="D38" s="118" t="s">
        <v>796</v>
      </c>
      <c r="E38" s="150"/>
      <c r="F38" s="151"/>
      <c r="G38" s="150"/>
      <c r="H38" s="151"/>
      <c r="I38" s="150"/>
      <c r="J38" s="151"/>
      <c r="K38" s="150"/>
      <c r="L38" s="151"/>
      <c r="M38" s="150"/>
      <c r="N38" s="151"/>
      <c r="O38" s="150"/>
      <c r="P38" s="151"/>
      <c r="Q38" s="150"/>
      <c r="R38" s="151"/>
      <c r="S38" s="150"/>
      <c r="T38" s="151"/>
      <c r="U38" s="119"/>
      <c r="V38" s="116"/>
    </row>
    <row r="39" spans="1:22" x14ac:dyDescent="0.25">
      <c r="A39" s="166"/>
      <c r="B39" s="169"/>
      <c r="C39" s="132" t="e">
        <f>C40/C$47</f>
        <v>#DIV/0!</v>
      </c>
      <c r="D39" s="133" t="s">
        <v>797</v>
      </c>
      <c r="E39" s="178">
        <v>2.5000000000000001E-2</v>
      </c>
      <c r="F39" s="179"/>
      <c r="G39" s="178">
        <v>0.15</v>
      </c>
      <c r="H39" s="179"/>
      <c r="I39" s="178">
        <v>0.15</v>
      </c>
      <c r="J39" s="179"/>
      <c r="K39" s="178">
        <v>0.15</v>
      </c>
      <c r="L39" s="179"/>
      <c r="M39" s="178">
        <v>0.15</v>
      </c>
      <c r="N39" s="179"/>
      <c r="O39" s="178">
        <f t="shared" ref="O39" si="22">1/8</f>
        <v>0.125</v>
      </c>
      <c r="P39" s="179"/>
      <c r="Q39" s="178">
        <f t="shared" ref="Q39" si="23">1/8</f>
        <v>0.125</v>
      </c>
      <c r="R39" s="179"/>
      <c r="S39" s="178">
        <f t="shared" ref="S39" si="24">1/8</f>
        <v>0.125</v>
      </c>
      <c r="T39" s="179"/>
      <c r="U39" s="112">
        <f>SUM(E39:T39)</f>
        <v>1</v>
      </c>
      <c r="V39" s="116"/>
    </row>
    <row r="40" spans="1:22" ht="15.75" thickBot="1" x14ac:dyDescent="0.3">
      <c r="A40" s="167"/>
      <c r="B40" s="170"/>
      <c r="C40" s="113">
        <f>PLANILHA!H133</f>
        <v>0</v>
      </c>
      <c r="D40" s="114" t="s">
        <v>798</v>
      </c>
      <c r="E40" s="148">
        <f t="shared" ref="E40" si="25">E39*$C40</f>
        <v>0</v>
      </c>
      <c r="F40" s="149"/>
      <c r="G40" s="148">
        <f t="shared" ref="G40" si="26">G39*$C40</f>
        <v>0</v>
      </c>
      <c r="H40" s="149"/>
      <c r="I40" s="148">
        <f t="shared" ref="I40" si="27">I39*$C40</f>
        <v>0</v>
      </c>
      <c r="J40" s="149"/>
      <c r="K40" s="148">
        <f t="shared" ref="K40" si="28">K39*$C40</f>
        <v>0</v>
      </c>
      <c r="L40" s="149"/>
      <c r="M40" s="148">
        <f t="shared" ref="M40" si="29">M39*$C40</f>
        <v>0</v>
      </c>
      <c r="N40" s="149"/>
      <c r="O40" s="148">
        <f>O39*$C40</f>
        <v>0</v>
      </c>
      <c r="P40" s="149"/>
      <c r="Q40" s="148">
        <f>Q39*$C40</f>
        <v>0</v>
      </c>
      <c r="R40" s="149"/>
      <c r="S40" s="148">
        <f>S39*$C40</f>
        <v>0</v>
      </c>
      <c r="T40" s="149"/>
      <c r="U40" s="115">
        <f>SUM(E40:T40)</f>
        <v>0</v>
      </c>
      <c r="V40" s="116"/>
    </row>
    <row r="41" spans="1:22" x14ac:dyDescent="0.25">
      <c r="A41" s="165">
        <v>12</v>
      </c>
      <c r="B41" s="168" t="s">
        <v>416</v>
      </c>
      <c r="C41" s="117"/>
      <c r="D41" s="118" t="s">
        <v>796</v>
      </c>
      <c r="E41" s="150"/>
      <c r="F41" s="151"/>
      <c r="G41" s="150"/>
      <c r="H41" s="151"/>
      <c r="I41" s="150"/>
      <c r="J41" s="151"/>
      <c r="K41" s="150"/>
      <c r="L41" s="151"/>
      <c r="M41" s="150"/>
      <c r="N41" s="151"/>
      <c r="O41" s="150"/>
      <c r="P41" s="151"/>
      <c r="Q41" s="150"/>
      <c r="R41" s="151"/>
      <c r="S41" s="150"/>
      <c r="T41" s="151"/>
      <c r="U41" s="119"/>
      <c r="V41" s="116"/>
    </row>
    <row r="42" spans="1:22" x14ac:dyDescent="0.25">
      <c r="A42" s="166"/>
      <c r="B42" s="169"/>
      <c r="C42" s="132" t="e">
        <f>C43/C$47</f>
        <v>#DIV/0!</v>
      </c>
      <c r="D42" s="133" t="s">
        <v>797</v>
      </c>
      <c r="E42" s="178">
        <v>2.5000000000000001E-2</v>
      </c>
      <c r="F42" s="179"/>
      <c r="G42" s="178">
        <v>0.15</v>
      </c>
      <c r="H42" s="179"/>
      <c r="I42" s="178">
        <v>0.15</v>
      </c>
      <c r="J42" s="179"/>
      <c r="K42" s="178">
        <v>0.15</v>
      </c>
      <c r="L42" s="179"/>
      <c r="M42" s="178">
        <v>0.15</v>
      </c>
      <c r="N42" s="179"/>
      <c r="O42" s="178">
        <f t="shared" ref="O42" si="30">1/8</f>
        <v>0.125</v>
      </c>
      <c r="P42" s="179"/>
      <c r="Q42" s="178">
        <f t="shared" ref="Q42" si="31">1/8</f>
        <v>0.125</v>
      </c>
      <c r="R42" s="179"/>
      <c r="S42" s="178">
        <f t="shared" ref="S42" si="32">1/8</f>
        <v>0.125</v>
      </c>
      <c r="T42" s="179"/>
      <c r="U42" s="112">
        <f>SUM(E42:T42)</f>
        <v>1</v>
      </c>
      <c r="V42" s="116"/>
    </row>
    <row r="43" spans="1:22" ht="15.75" thickBot="1" x14ac:dyDescent="0.3">
      <c r="A43" s="167"/>
      <c r="B43" s="170"/>
      <c r="C43" s="113">
        <f>PLANILHA!H198</f>
        <v>0</v>
      </c>
      <c r="D43" s="114" t="s">
        <v>798</v>
      </c>
      <c r="E43" s="148">
        <f t="shared" ref="E43" si="33">E42*$C43</f>
        <v>0</v>
      </c>
      <c r="F43" s="149"/>
      <c r="G43" s="148">
        <f t="shared" ref="G43" si="34">G42*$C43</f>
        <v>0</v>
      </c>
      <c r="H43" s="149"/>
      <c r="I43" s="148">
        <f t="shared" ref="I43" si="35">I42*$C43</f>
        <v>0</v>
      </c>
      <c r="J43" s="149"/>
      <c r="K43" s="148">
        <f t="shared" ref="K43" si="36">K42*$C43</f>
        <v>0</v>
      </c>
      <c r="L43" s="149"/>
      <c r="M43" s="148">
        <f t="shared" ref="M43" si="37">M42*$C43</f>
        <v>0</v>
      </c>
      <c r="N43" s="149"/>
      <c r="O43" s="148">
        <f>O42*$C43</f>
        <v>0</v>
      </c>
      <c r="P43" s="149"/>
      <c r="Q43" s="148">
        <f>Q42*$C43</f>
        <v>0</v>
      </c>
      <c r="R43" s="149"/>
      <c r="S43" s="148">
        <f>S42*$C43</f>
        <v>0</v>
      </c>
      <c r="T43" s="149"/>
      <c r="U43" s="115">
        <f>SUM(E43:T43)</f>
        <v>0</v>
      </c>
      <c r="V43" s="116"/>
    </row>
    <row r="44" spans="1:22" x14ac:dyDescent="0.25">
      <c r="A44" s="165">
        <v>13</v>
      </c>
      <c r="B44" s="168" t="s">
        <v>99</v>
      </c>
      <c r="C44" s="117"/>
      <c r="D44" s="118" t="s">
        <v>796</v>
      </c>
      <c r="E44" s="174"/>
      <c r="F44" s="174"/>
      <c r="G44" s="174"/>
      <c r="H44" s="174"/>
      <c r="I44" s="174"/>
      <c r="J44" s="174"/>
      <c r="K44" s="229"/>
      <c r="L44" s="229"/>
      <c r="M44" s="229"/>
      <c r="N44" s="229"/>
      <c r="O44" s="150"/>
      <c r="P44" s="151"/>
      <c r="Q44" s="150"/>
      <c r="R44" s="151"/>
      <c r="S44" s="150"/>
      <c r="T44" s="151"/>
      <c r="U44" s="119"/>
      <c r="V44" s="116"/>
    </row>
    <row r="45" spans="1:22" x14ac:dyDescent="0.25">
      <c r="A45" s="166"/>
      <c r="B45" s="169"/>
      <c r="C45" s="132" t="e">
        <f>C46/C$47</f>
        <v>#DIV/0!</v>
      </c>
      <c r="D45" s="133" t="s">
        <v>797</v>
      </c>
      <c r="E45" s="175"/>
      <c r="F45" s="175"/>
      <c r="G45" s="175"/>
      <c r="H45" s="175"/>
      <c r="I45" s="175"/>
      <c r="J45" s="175"/>
      <c r="K45" s="178">
        <f>1/5</f>
        <v>0.2</v>
      </c>
      <c r="L45" s="179"/>
      <c r="M45" s="178">
        <f t="shared" ref="M45" si="38">1/5</f>
        <v>0.2</v>
      </c>
      <c r="N45" s="179"/>
      <c r="O45" s="178">
        <f t="shared" ref="O45" si="39">1/5</f>
        <v>0.2</v>
      </c>
      <c r="P45" s="179"/>
      <c r="Q45" s="178">
        <f t="shared" ref="Q45" si="40">1/5</f>
        <v>0.2</v>
      </c>
      <c r="R45" s="179"/>
      <c r="S45" s="178">
        <f t="shared" ref="S45" si="41">1/5</f>
        <v>0.2</v>
      </c>
      <c r="T45" s="179"/>
      <c r="U45" s="112">
        <f>SUM(E45:T45)</f>
        <v>1</v>
      </c>
      <c r="V45" s="116"/>
    </row>
    <row r="46" spans="1:22" ht="15.75" thickBot="1" x14ac:dyDescent="0.3">
      <c r="A46" s="167"/>
      <c r="B46" s="170"/>
      <c r="C46" s="113">
        <f>PLANILHA!H233</f>
        <v>0</v>
      </c>
      <c r="D46" s="114" t="s">
        <v>798</v>
      </c>
      <c r="E46" s="182"/>
      <c r="F46" s="182"/>
      <c r="G46" s="182"/>
      <c r="H46" s="182"/>
      <c r="I46" s="182"/>
      <c r="J46" s="182"/>
      <c r="K46" s="148">
        <f t="shared" ref="K46" si="42">K45*$C46</f>
        <v>0</v>
      </c>
      <c r="L46" s="149"/>
      <c r="M46" s="148">
        <f t="shared" ref="M46" si="43">M45*$C46</f>
        <v>0</v>
      </c>
      <c r="N46" s="149"/>
      <c r="O46" s="148">
        <f>O45*$C46</f>
        <v>0</v>
      </c>
      <c r="P46" s="149"/>
      <c r="Q46" s="148">
        <f>Q45*$C46</f>
        <v>0</v>
      </c>
      <c r="R46" s="149"/>
      <c r="S46" s="148">
        <f>S45*$C46</f>
        <v>0</v>
      </c>
      <c r="T46" s="149"/>
      <c r="U46" s="115">
        <f>SUM(E46:T46)</f>
        <v>0</v>
      </c>
      <c r="V46" s="116"/>
    </row>
    <row r="47" spans="1:22" ht="15.75" thickBot="1" x14ac:dyDescent="0.3">
      <c r="A47" s="160" t="s">
        <v>799</v>
      </c>
      <c r="B47" s="161"/>
      <c r="C47" s="122">
        <f>C10+C13+C16+C19+C22+C25+C28+C31+C34+C37+C40+C43+C46</f>
        <v>0</v>
      </c>
      <c r="D47" s="123" t="e">
        <f>C9+C12+C15+C18+C21+C24+C27+C30+C33+C36+C39+C42+C45</f>
        <v>#DIV/0!</v>
      </c>
      <c r="E47" s="162">
        <f>E10+E13+E16+E19+E22+E25+E28+E31+E34+E37+E40+E43+E46</f>
        <v>0</v>
      </c>
      <c r="F47" s="162" t="e">
        <v>#N/A</v>
      </c>
      <c r="G47" s="162">
        <f t="shared" ref="G47" si="44">G10+G13+G16+G19+G22+G25+G28+G31+G34+G37+G40+G43+G46</f>
        <v>0</v>
      </c>
      <c r="H47" s="162" t="e">
        <v>#N/A</v>
      </c>
      <c r="I47" s="162">
        <f t="shared" ref="I47" si="45">I10+I13+I16+I19+I22+I25+I28+I31+I34+I37+I40+I43+I46</f>
        <v>0</v>
      </c>
      <c r="J47" s="162" t="e">
        <v>#N/A</v>
      </c>
      <c r="K47" s="162">
        <f t="shared" ref="K47" si="46">K10+K13+K16+K19+K22+K25+K28+K31+K34+K37+K40+K43+K46</f>
        <v>0</v>
      </c>
      <c r="L47" s="162" t="e">
        <v>#N/A</v>
      </c>
      <c r="M47" s="162">
        <f t="shared" ref="M47" si="47">M10+M13+M16+M19+M22+M25+M28+M31+M34+M37+M40+M43+M46</f>
        <v>0</v>
      </c>
      <c r="N47" s="162" t="e">
        <v>#N/A</v>
      </c>
      <c r="O47" s="162">
        <f t="shared" ref="O47" si="48">O10+O13+O16+O19+O22+O25+O28+O31+O34+O37+O40+O43+O46</f>
        <v>0</v>
      </c>
      <c r="P47" s="162" t="e">
        <v>#N/A</v>
      </c>
      <c r="Q47" s="162">
        <f t="shared" ref="Q47" si="49">Q10+Q13+Q16+Q19+Q22+Q25+Q28+Q31+Q34+Q37+Q40+Q43+Q46</f>
        <v>0</v>
      </c>
      <c r="R47" s="162" t="e">
        <v>#N/A</v>
      </c>
      <c r="S47" s="162">
        <f>S10+S13+S16+S19+S22+S25+S28+S31+S34+S37+S40+S43+S46</f>
        <v>0</v>
      </c>
      <c r="T47" s="162" t="e">
        <v>#N/A</v>
      </c>
      <c r="U47" s="124">
        <f>U10+U13+U16+U19+U22+U25+U28+U31+U34+U37+U40+U43+U46</f>
        <v>0</v>
      </c>
    </row>
    <row r="48" spans="1:22" ht="6" customHeight="1" thickBot="1" x14ac:dyDescent="0.3">
      <c r="A48" s="171"/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3"/>
    </row>
    <row r="49" spans="1:21" x14ac:dyDescent="0.25">
      <c r="A49" s="158" t="s">
        <v>800</v>
      </c>
      <c r="B49" s="159"/>
      <c r="C49" s="159"/>
      <c r="D49" s="159"/>
      <c r="E49" s="155" t="e">
        <f>E47/$C$47</f>
        <v>#DIV/0!</v>
      </c>
      <c r="F49" s="155"/>
      <c r="G49" s="155" t="e">
        <f>G47/$C$47</f>
        <v>#DIV/0!</v>
      </c>
      <c r="H49" s="155"/>
      <c r="I49" s="155" t="e">
        <f>I47/$C$47</f>
        <v>#DIV/0!</v>
      </c>
      <c r="J49" s="155"/>
      <c r="K49" s="155" t="e">
        <f>K47/$C$47</f>
        <v>#DIV/0!</v>
      </c>
      <c r="L49" s="155"/>
      <c r="M49" s="155" t="e">
        <f>M47/$C$47</f>
        <v>#DIV/0!</v>
      </c>
      <c r="N49" s="155"/>
      <c r="O49" s="155" t="e">
        <f>O47/$C$47</f>
        <v>#DIV/0!</v>
      </c>
      <c r="P49" s="155"/>
      <c r="Q49" s="155" t="e">
        <f>Q47/$C$47</f>
        <v>#DIV/0!</v>
      </c>
      <c r="R49" s="155"/>
      <c r="S49" s="155" t="e">
        <f>S47/$C$47</f>
        <v>#DIV/0!</v>
      </c>
      <c r="T49" s="155"/>
      <c r="U49" s="125" t="e">
        <f>SUM(E49:T49)</f>
        <v>#DIV/0!</v>
      </c>
    </row>
    <row r="50" spans="1:21" x14ac:dyDescent="0.25">
      <c r="A50" s="156" t="s">
        <v>801</v>
      </c>
      <c r="B50" s="157"/>
      <c r="C50" s="157"/>
      <c r="D50" s="157"/>
      <c r="E50" s="154">
        <f>E47</f>
        <v>0</v>
      </c>
      <c r="F50" s="154"/>
      <c r="G50" s="154">
        <f>G47</f>
        <v>0</v>
      </c>
      <c r="H50" s="154"/>
      <c r="I50" s="154">
        <f>I47</f>
        <v>0</v>
      </c>
      <c r="J50" s="154"/>
      <c r="K50" s="154">
        <f>K47</f>
        <v>0</v>
      </c>
      <c r="L50" s="154"/>
      <c r="M50" s="154">
        <f>M47</f>
        <v>0</v>
      </c>
      <c r="N50" s="154"/>
      <c r="O50" s="154">
        <f>O47</f>
        <v>0</v>
      </c>
      <c r="P50" s="154"/>
      <c r="Q50" s="154">
        <f>Q47</f>
        <v>0</v>
      </c>
      <c r="R50" s="154"/>
      <c r="S50" s="154">
        <f>S47</f>
        <v>0</v>
      </c>
      <c r="T50" s="154"/>
      <c r="U50" s="126">
        <f>SUM(E50:T50)</f>
        <v>0</v>
      </c>
    </row>
    <row r="51" spans="1:21" x14ac:dyDescent="0.25">
      <c r="A51" s="156" t="s">
        <v>802</v>
      </c>
      <c r="B51" s="157"/>
      <c r="C51" s="157"/>
      <c r="D51" s="157"/>
      <c r="E51" s="154">
        <f>E50</f>
        <v>0</v>
      </c>
      <c r="F51" s="154"/>
      <c r="G51" s="154">
        <f>E51+G50</f>
        <v>0</v>
      </c>
      <c r="H51" s="154"/>
      <c r="I51" s="154">
        <f>G51+I50</f>
        <v>0</v>
      </c>
      <c r="J51" s="154"/>
      <c r="K51" s="154">
        <f>I51+K50</f>
        <v>0</v>
      </c>
      <c r="L51" s="154"/>
      <c r="M51" s="154">
        <f>K51+M50</f>
        <v>0</v>
      </c>
      <c r="N51" s="154"/>
      <c r="O51" s="154">
        <f>M51+O50</f>
        <v>0</v>
      </c>
      <c r="P51" s="154"/>
      <c r="Q51" s="154">
        <f>O51+Q50</f>
        <v>0</v>
      </c>
      <c r="R51" s="154"/>
      <c r="S51" s="154">
        <f>Q51+S50</f>
        <v>0</v>
      </c>
      <c r="T51" s="154"/>
      <c r="U51" s="129">
        <f>S51</f>
        <v>0</v>
      </c>
    </row>
    <row r="52" spans="1:21" ht="15.75" thickBot="1" x14ac:dyDescent="0.3">
      <c r="A52" s="152" t="s">
        <v>803</v>
      </c>
      <c r="B52" s="153"/>
      <c r="C52" s="153"/>
      <c r="D52" s="153"/>
      <c r="E52" s="147" t="e">
        <f>E49</f>
        <v>#DIV/0!</v>
      </c>
      <c r="F52" s="147"/>
      <c r="G52" s="147" t="e">
        <f>E52+G49</f>
        <v>#DIV/0!</v>
      </c>
      <c r="H52" s="147"/>
      <c r="I52" s="147" t="e">
        <f>G52+I49</f>
        <v>#DIV/0!</v>
      </c>
      <c r="J52" s="147"/>
      <c r="K52" s="147" t="e">
        <f>I52+K49</f>
        <v>#DIV/0!</v>
      </c>
      <c r="L52" s="147"/>
      <c r="M52" s="147" t="e">
        <f>K52+M49</f>
        <v>#DIV/0!</v>
      </c>
      <c r="N52" s="147"/>
      <c r="O52" s="147" t="e">
        <f>M52+O49</f>
        <v>#DIV/0!</v>
      </c>
      <c r="P52" s="147"/>
      <c r="Q52" s="147" t="e">
        <f>O52+Q49</f>
        <v>#DIV/0!</v>
      </c>
      <c r="R52" s="147"/>
      <c r="S52" s="147" t="e">
        <f>Q52+S49</f>
        <v>#DIV/0!</v>
      </c>
      <c r="T52" s="147"/>
      <c r="U52" s="130" t="e">
        <f>S52</f>
        <v>#DIV/0!</v>
      </c>
    </row>
    <row r="54" spans="1:21" x14ac:dyDescent="0.25">
      <c r="C54" s="127"/>
      <c r="E54" s="145"/>
      <c r="F54" s="146"/>
      <c r="G54" s="145"/>
      <c r="H54" s="146"/>
      <c r="I54" s="145"/>
      <c r="J54" s="146"/>
      <c r="K54" s="145"/>
      <c r="L54" s="146"/>
      <c r="M54" s="145"/>
      <c r="N54" s="146"/>
      <c r="O54" s="145"/>
      <c r="P54" s="146"/>
      <c r="Q54" s="145"/>
      <c r="R54" s="146"/>
      <c r="S54" s="145"/>
      <c r="T54" s="146"/>
    </row>
    <row r="55" spans="1:21" x14ac:dyDescent="0.25">
      <c r="C55" s="128"/>
    </row>
  </sheetData>
  <mergeCells count="411">
    <mergeCell ref="I47:J47"/>
    <mergeCell ref="K47:L47"/>
    <mergeCell ref="M47:N47"/>
    <mergeCell ref="O47:P47"/>
    <mergeCell ref="Q47:R47"/>
    <mergeCell ref="E45:F45"/>
    <mergeCell ref="G45:H45"/>
    <mergeCell ref="I45:J45"/>
    <mergeCell ref="K45:L45"/>
    <mergeCell ref="M45:N45"/>
    <mergeCell ref="O45:P45"/>
    <mergeCell ref="Q45:R45"/>
    <mergeCell ref="S41:T41"/>
    <mergeCell ref="E42:F42"/>
    <mergeCell ref="G42:H42"/>
    <mergeCell ref="I42:J42"/>
    <mergeCell ref="K42:L42"/>
    <mergeCell ref="M42:N42"/>
    <mergeCell ref="O42:P42"/>
    <mergeCell ref="Q42:R42"/>
    <mergeCell ref="S42:T42"/>
    <mergeCell ref="E41:F41"/>
    <mergeCell ref="G41:H41"/>
    <mergeCell ref="I41:J41"/>
    <mergeCell ref="K41:L41"/>
    <mergeCell ref="M41:N41"/>
    <mergeCell ref="O41:P41"/>
    <mergeCell ref="Q41:R41"/>
    <mergeCell ref="Q40:R40"/>
    <mergeCell ref="S40:T40"/>
    <mergeCell ref="E39:F39"/>
    <mergeCell ref="G39:H39"/>
    <mergeCell ref="I39:J39"/>
    <mergeCell ref="K39:L39"/>
    <mergeCell ref="M39:N39"/>
    <mergeCell ref="O39:P39"/>
    <mergeCell ref="Q39:R39"/>
    <mergeCell ref="S39:T39"/>
    <mergeCell ref="A1:U1"/>
    <mergeCell ref="A2:U2"/>
    <mergeCell ref="A3:U3"/>
    <mergeCell ref="A4:U4"/>
    <mergeCell ref="S5:U5"/>
    <mergeCell ref="B5:R5"/>
    <mergeCell ref="U6:U7"/>
    <mergeCell ref="Q6:R7"/>
    <mergeCell ref="S6:T7"/>
    <mergeCell ref="A8:A10"/>
    <mergeCell ref="B8:B10"/>
    <mergeCell ref="E8:F8"/>
    <mergeCell ref="G8:H8"/>
    <mergeCell ref="I8:J8"/>
    <mergeCell ref="I6:J7"/>
    <mergeCell ref="K6:L7"/>
    <mergeCell ref="M6:N7"/>
    <mergeCell ref="O6:P7"/>
    <mergeCell ref="A6:A7"/>
    <mergeCell ref="B6:B7"/>
    <mergeCell ref="E9:F9"/>
    <mergeCell ref="G9:H9"/>
    <mergeCell ref="I9:J9"/>
    <mergeCell ref="K9:L9"/>
    <mergeCell ref="M9:N9"/>
    <mergeCell ref="O9:P9"/>
    <mergeCell ref="C6:C7"/>
    <mergeCell ref="D6:D7"/>
    <mergeCell ref="E6:F7"/>
    <mergeCell ref="G6:H7"/>
    <mergeCell ref="Q9:R9"/>
    <mergeCell ref="K8:L8"/>
    <mergeCell ref="M8:N8"/>
    <mergeCell ref="O8:P8"/>
    <mergeCell ref="Q8:R8"/>
    <mergeCell ref="S8:T8"/>
    <mergeCell ref="E10:F10"/>
    <mergeCell ref="G10:H10"/>
    <mergeCell ref="I10:J10"/>
    <mergeCell ref="K10:L10"/>
    <mergeCell ref="M10:N10"/>
    <mergeCell ref="S9:T9"/>
    <mergeCell ref="O10:P10"/>
    <mergeCell ref="Q10:R10"/>
    <mergeCell ref="S10:T10"/>
    <mergeCell ref="A11:A13"/>
    <mergeCell ref="B11:B13"/>
    <mergeCell ref="E11:F11"/>
    <mergeCell ref="G11:H11"/>
    <mergeCell ref="I11:J11"/>
    <mergeCell ref="K11:L11"/>
    <mergeCell ref="M11:N11"/>
    <mergeCell ref="O11:P11"/>
    <mergeCell ref="Q11:R11"/>
    <mergeCell ref="E12:F12"/>
    <mergeCell ref="G12:H12"/>
    <mergeCell ref="I12:J12"/>
    <mergeCell ref="K12:L12"/>
    <mergeCell ref="M12:N12"/>
    <mergeCell ref="S11:T11"/>
    <mergeCell ref="E13:F13"/>
    <mergeCell ref="G13:H13"/>
    <mergeCell ref="I13:J13"/>
    <mergeCell ref="K13:L13"/>
    <mergeCell ref="M13:N13"/>
    <mergeCell ref="O13:P13"/>
    <mergeCell ref="Q13:R13"/>
    <mergeCell ref="S13:T13"/>
    <mergeCell ref="O12:P12"/>
    <mergeCell ref="Q12:R12"/>
    <mergeCell ref="S12:T12"/>
    <mergeCell ref="A14:A16"/>
    <mergeCell ref="B14:B16"/>
    <mergeCell ref="E14:F14"/>
    <mergeCell ref="G14:H14"/>
    <mergeCell ref="I14:J14"/>
    <mergeCell ref="K14:L14"/>
    <mergeCell ref="M14:N14"/>
    <mergeCell ref="E15:F15"/>
    <mergeCell ref="G15:H15"/>
    <mergeCell ref="I15:J15"/>
    <mergeCell ref="K15:L15"/>
    <mergeCell ref="M15:N15"/>
    <mergeCell ref="O15:P15"/>
    <mergeCell ref="Q15:R15"/>
    <mergeCell ref="S15:T15"/>
    <mergeCell ref="O14:P14"/>
    <mergeCell ref="Q14:R14"/>
    <mergeCell ref="S14:T14"/>
    <mergeCell ref="E16:F16"/>
    <mergeCell ref="G16:H16"/>
    <mergeCell ref="I16:J16"/>
    <mergeCell ref="K16:L16"/>
    <mergeCell ref="M16:N16"/>
    <mergeCell ref="O16:P16"/>
    <mergeCell ref="Q16:R16"/>
    <mergeCell ref="A17:A19"/>
    <mergeCell ref="B17:B19"/>
    <mergeCell ref="E17:F17"/>
    <mergeCell ref="G17:H17"/>
    <mergeCell ref="I17:J17"/>
    <mergeCell ref="S16:T16"/>
    <mergeCell ref="E18:F18"/>
    <mergeCell ref="G18:H18"/>
    <mergeCell ref="I18:J18"/>
    <mergeCell ref="K18:L18"/>
    <mergeCell ref="M18:N18"/>
    <mergeCell ref="O18:P18"/>
    <mergeCell ref="Q18:R18"/>
    <mergeCell ref="K17:L17"/>
    <mergeCell ref="M17:N17"/>
    <mergeCell ref="O17:P17"/>
    <mergeCell ref="Q17:R17"/>
    <mergeCell ref="S17:T17"/>
    <mergeCell ref="E19:F19"/>
    <mergeCell ref="G19:H19"/>
    <mergeCell ref="I19:J19"/>
    <mergeCell ref="K19:L19"/>
    <mergeCell ref="M19:N19"/>
    <mergeCell ref="S18:T18"/>
    <mergeCell ref="A20:A22"/>
    <mergeCell ref="B20:B22"/>
    <mergeCell ref="E20:F20"/>
    <mergeCell ref="G20:H20"/>
    <mergeCell ref="I20:J20"/>
    <mergeCell ref="K20:L20"/>
    <mergeCell ref="M20:N20"/>
    <mergeCell ref="O20:P20"/>
    <mergeCell ref="Q20:R20"/>
    <mergeCell ref="E22:F22"/>
    <mergeCell ref="G22:H22"/>
    <mergeCell ref="I22:J22"/>
    <mergeCell ref="K22:L22"/>
    <mergeCell ref="M22:N22"/>
    <mergeCell ref="O22:P22"/>
    <mergeCell ref="Q22:R22"/>
    <mergeCell ref="O19:P19"/>
    <mergeCell ref="Q19:R19"/>
    <mergeCell ref="S19:T19"/>
    <mergeCell ref="E21:F21"/>
    <mergeCell ref="G21:H21"/>
    <mergeCell ref="I21:J21"/>
    <mergeCell ref="K21:L21"/>
    <mergeCell ref="M21:N21"/>
    <mergeCell ref="S20:T20"/>
    <mergeCell ref="S22:T22"/>
    <mergeCell ref="O21:P21"/>
    <mergeCell ref="Q21:R21"/>
    <mergeCell ref="S21:T21"/>
    <mergeCell ref="A23:A25"/>
    <mergeCell ref="B23:B25"/>
    <mergeCell ref="E23:F23"/>
    <mergeCell ref="G23:H23"/>
    <mergeCell ref="I23:J23"/>
    <mergeCell ref="K23:L23"/>
    <mergeCell ref="M23:N23"/>
    <mergeCell ref="E24:F24"/>
    <mergeCell ref="G24:H24"/>
    <mergeCell ref="I24:J24"/>
    <mergeCell ref="K24:L24"/>
    <mergeCell ref="M24:N24"/>
    <mergeCell ref="O24:P24"/>
    <mergeCell ref="Q24:R24"/>
    <mergeCell ref="S24:T24"/>
    <mergeCell ref="O23:P23"/>
    <mergeCell ref="Q23:R23"/>
    <mergeCell ref="S23:T23"/>
    <mergeCell ref="E25:F25"/>
    <mergeCell ref="G25:H25"/>
    <mergeCell ref="A26:A28"/>
    <mergeCell ref="B26:B28"/>
    <mergeCell ref="E26:F26"/>
    <mergeCell ref="G26:H26"/>
    <mergeCell ref="I26:J26"/>
    <mergeCell ref="E28:F28"/>
    <mergeCell ref="G28:H28"/>
    <mergeCell ref="I28:J28"/>
    <mergeCell ref="K28:L28"/>
    <mergeCell ref="S25:T25"/>
    <mergeCell ref="E27:F27"/>
    <mergeCell ref="G27:H27"/>
    <mergeCell ref="I27:J27"/>
    <mergeCell ref="K27:L27"/>
    <mergeCell ref="M27:N27"/>
    <mergeCell ref="O27:P27"/>
    <mergeCell ref="Q27:R27"/>
    <mergeCell ref="K26:L26"/>
    <mergeCell ref="M26:N26"/>
    <mergeCell ref="O26:P26"/>
    <mergeCell ref="Q26:R26"/>
    <mergeCell ref="S26:T26"/>
    <mergeCell ref="S27:T27"/>
    <mergeCell ref="I25:J25"/>
    <mergeCell ref="K25:L25"/>
    <mergeCell ref="M25:N25"/>
    <mergeCell ref="O25:P25"/>
    <mergeCell ref="Q25:R25"/>
    <mergeCell ref="A29:A31"/>
    <mergeCell ref="B29:B31"/>
    <mergeCell ref="E29:F29"/>
    <mergeCell ref="G29:H29"/>
    <mergeCell ref="I29:J29"/>
    <mergeCell ref="K29:L29"/>
    <mergeCell ref="M29:N29"/>
    <mergeCell ref="O29:P29"/>
    <mergeCell ref="Q29:R29"/>
    <mergeCell ref="S28:T28"/>
    <mergeCell ref="E30:F30"/>
    <mergeCell ref="G30:H30"/>
    <mergeCell ref="I30:J30"/>
    <mergeCell ref="K30:L30"/>
    <mergeCell ref="M30:N30"/>
    <mergeCell ref="S29:T29"/>
    <mergeCell ref="E31:F31"/>
    <mergeCell ref="G31:H31"/>
    <mergeCell ref="I31:J31"/>
    <mergeCell ref="K31:L31"/>
    <mergeCell ref="M31:N31"/>
    <mergeCell ref="O31:P31"/>
    <mergeCell ref="Q31:R31"/>
    <mergeCell ref="S31:T31"/>
    <mergeCell ref="O30:P30"/>
    <mergeCell ref="Q30:R30"/>
    <mergeCell ref="S30:T30"/>
    <mergeCell ref="M28:N28"/>
    <mergeCell ref="O28:P28"/>
    <mergeCell ref="Q28:R28"/>
    <mergeCell ref="A32:A34"/>
    <mergeCell ref="B32:B34"/>
    <mergeCell ref="E32:F32"/>
    <mergeCell ref="G32:H32"/>
    <mergeCell ref="I32:J32"/>
    <mergeCell ref="K32:L32"/>
    <mergeCell ref="M32:N32"/>
    <mergeCell ref="E33:F33"/>
    <mergeCell ref="G33:H33"/>
    <mergeCell ref="I33:J33"/>
    <mergeCell ref="K33:L33"/>
    <mergeCell ref="M33:N33"/>
    <mergeCell ref="O33:P33"/>
    <mergeCell ref="Q33:R33"/>
    <mergeCell ref="S33:T33"/>
    <mergeCell ref="O32:P32"/>
    <mergeCell ref="Q32:R32"/>
    <mergeCell ref="S32:T32"/>
    <mergeCell ref="E34:F34"/>
    <mergeCell ref="G34:H34"/>
    <mergeCell ref="I34:J34"/>
    <mergeCell ref="K34:L34"/>
    <mergeCell ref="M34:N34"/>
    <mergeCell ref="O34:P34"/>
    <mergeCell ref="Q34:R34"/>
    <mergeCell ref="S34:T34"/>
    <mergeCell ref="E36:F36"/>
    <mergeCell ref="G36:H36"/>
    <mergeCell ref="I36:J36"/>
    <mergeCell ref="K36:L36"/>
    <mergeCell ref="M36:N36"/>
    <mergeCell ref="O36:P36"/>
    <mergeCell ref="Q36:R36"/>
    <mergeCell ref="K35:L35"/>
    <mergeCell ref="M35:N35"/>
    <mergeCell ref="O35:P35"/>
    <mergeCell ref="Q35:R35"/>
    <mergeCell ref="S35:T35"/>
    <mergeCell ref="S36:T36"/>
    <mergeCell ref="O37:P37"/>
    <mergeCell ref="Q37:R37"/>
    <mergeCell ref="S37:T37"/>
    <mergeCell ref="A38:A40"/>
    <mergeCell ref="B38:B40"/>
    <mergeCell ref="A48:U48"/>
    <mergeCell ref="M38:N38"/>
    <mergeCell ref="O38:P38"/>
    <mergeCell ref="Q38:R38"/>
    <mergeCell ref="S38:T38"/>
    <mergeCell ref="A35:A37"/>
    <mergeCell ref="B35:B37"/>
    <mergeCell ref="E35:F35"/>
    <mergeCell ref="G35:H35"/>
    <mergeCell ref="I35:J35"/>
    <mergeCell ref="E37:F37"/>
    <mergeCell ref="G37:H37"/>
    <mergeCell ref="I37:J37"/>
    <mergeCell ref="K37:L37"/>
    <mergeCell ref="M37:N37"/>
    <mergeCell ref="I40:J40"/>
    <mergeCell ref="K40:L40"/>
    <mergeCell ref="M40:N40"/>
    <mergeCell ref="O40:P40"/>
    <mergeCell ref="A49:D49"/>
    <mergeCell ref="E49:F49"/>
    <mergeCell ref="G49:H49"/>
    <mergeCell ref="I49:J49"/>
    <mergeCell ref="K49:L49"/>
    <mergeCell ref="E38:F38"/>
    <mergeCell ref="G38:H38"/>
    <mergeCell ref="I38:J38"/>
    <mergeCell ref="K38:L38"/>
    <mergeCell ref="A47:B47"/>
    <mergeCell ref="E47:F47"/>
    <mergeCell ref="A41:A43"/>
    <mergeCell ref="B41:B43"/>
    <mergeCell ref="A44:A46"/>
    <mergeCell ref="B44:B46"/>
    <mergeCell ref="E44:F44"/>
    <mergeCell ref="G44:H44"/>
    <mergeCell ref="I44:J44"/>
    <mergeCell ref="K44:L44"/>
    <mergeCell ref="E46:F46"/>
    <mergeCell ref="G46:H46"/>
    <mergeCell ref="I46:J46"/>
    <mergeCell ref="K46:L46"/>
    <mergeCell ref="G47:H47"/>
    <mergeCell ref="E40:F40"/>
    <mergeCell ref="G40:H40"/>
    <mergeCell ref="A51:D51"/>
    <mergeCell ref="E51:F51"/>
    <mergeCell ref="G51:H51"/>
    <mergeCell ref="I51:J51"/>
    <mergeCell ref="K51:L51"/>
    <mergeCell ref="S50:T50"/>
    <mergeCell ref="E43:F43"/>
    <mergeCell ref="G43:H43"/>
    <mergeCell ref="I43:J43"/>
    <mergeCell ref="K43:L43"/>
    <mergeCell ref="M43:N43"/>
    <mergeCell ref="S51:T51"/>
    <mergeCell ref="O43:P43"/>
    <mergeCell ref="Q43:R43"/>
    <mergeCell ref="A50:D50"/>
    <mergeCell ref="E50:F50"/>
    <mergeCell ref="G50:H50"/>
    <mergeCell ref="I50:J50"/>
    <mergeCell ref="K50:L50"/>
    <mergeCell ref="M50:N50"/>
    <mergeCell ref="O50:P50"/>
    <mergeCell ref="Q50:R50"/>
    <mergeCell ref="A52:D52"/>
    <mergeCell ref="E52:F52"/>
    <mergeCell ref="G52:H52"/>
    <mergeCell ref="I52:J52"/>
    <mergeCell ref="K52:L52"/>
    <mergeCell ref="M52:N52"/>
    <mergeCell ref="O52:P52"/>
    <mergeCell ref="Q52:R52"/>
    <mergeCell ref="M51:N51"/>
    <mergeCell ref="O51:P51"/>
    <mergeCell ref="Q51:R51"/>
    <mergeCell ref="E54:F54"/>
    <mergeCell ref="G54:H54"/>
    <mergeCell ref="I54:J54"/>
    <mergeCell ref="K54:L54"/>
    <mergeCell ref="M54:N54"/>
    <mergeCell ref="S52:T52"/>
    <mergeCell ref="S43:T43"/>
    <mergeCell ref="S44:T44"/>
    <mergeCell ref="O54:P54"/>
    <mergeCell ref="Q54:R54"/>
    <mergeCell ref="S54:T54"/>
    <mergeCell ref="S46:T46"/>
    <mergeCell ref="S49:T49"/>
    <mergeCell ref="M49:N49"/>
    <mergeCell ref="O49:P49"/>
    <mergeCell ref="Q49:R49"/>
    <mergeCell ref="S47:T47"/>
    <mergeCell ref="S45:T45"/>
    <mergeCell ref="M44:N44"/>
    <mergeCell ref="O44:P44"/>
    <mergeCell ref="Q44:R44"/>
    <mergeCell ref="M46:N46"/>
    <mergeCell ref="O46:P46"/>
    <mergeCell ref="Q46:R46"/>
  </mergeCells>
  <printOptions horizontalCentered="1"/>
  <pageMargins left="0.39370078740157483" right="0.39370078740157483" top="0.39370078740157483" bottom="0.39370078740157483" header="0" footer="0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5</vt:i4>
      </vt:variant>
    </vt:vector>
  </HeadingPairs>
  <TitlesOfParts>
    <vt:vector size="7" baseType="lpstr">
      <vt:lpstr>PLANILHA</vt:lpstr>
      <vt:lpstr>CRONOGRAMA</vt:lpstr>
      <vt:lpstr>PLANILHA!_FilterDatabase_0</vt:lpstr>
      <vt:lpstr>PLANILHA!_FilterDatabase_0_0</vt:lpstr>
      <vt:lpstr>CRONOGRAMA!Area_de_impressao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delson</dc:creator>
  <dc:description/>
  <cp:lastModifiedBy>Delson</cp:lastModifiedBy>
  <cp:revision>227</cp:revision>
  <cp:lastPrinted>2023-07-24T20:47:09Z</cp:lastPrinted>
  <dcterms:created xsi:type="dcterms:W3CDTF">2021-07-26T18:13:23Z</dcterms:created>
  <dcterms:modified xsi:type="dcterms:W3CDTF">2023-08-28T12:17:26Z</dcterms:modified>
  <dc:language>pt-BR</dc:language>
</cp:coreProperties>
</file>